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600" windowHeight="18380" tabRatio="776" activeTab="0"/>
  </bookViews>
  <sheets>
    <sheet name="100% Forastero wet bean" sheetId="1" r:id="rId1"/>
    <sheet name="100% Criollo wet bean" sheetId="2" r:id="rId2"/>
    <sheet name="Sensitivity analysis" sheetId="3" r:id="rId3"/>
  </sheets>
  <definedNames>
    <definedName name="_xlnm.Print_Area" localSheetId="1">'100% Criollo wet bean'!$A$1:$P$101</definedName>
    <definedName name="_xlnm.Print_Area" localSheetId="0">'100% Forastero wet bean'!$A$1:$P$101</definedName>
    <definedName name="_xlnm.Print_Area" localSheetId="2">'Sensitivity analysis'!$A$1:$K$41</definedName>
  </definedNames>
  <calcPr fullCalcOnLoad="1"/>
</workbook>
</file>

<file path=xl/sharedStrings.xml><?xml version="1.0" encoding="utf-8"?>
<sst xmlns="http://schemas.openxmlformats.org/spreadsheetml/2006/main" count="419" uniqueCount="165">
  <si>
    <r>
      <t>NOTE:  Enter "</t>
    </r>
    <r>
      <rPr>
        <b/>
        <i/>
        <sz val="8"/>
        <color indexed="14"/>
        <rFont val="Arial Narrow"/>
        <family val="0"/>
      </rPr>
      <t>T</t>
    </r>
    <r>
      <rPr>
        <i/>
        <sz val="8"/>
        <color indexed="14"/>
        <rFont val="Arial Narrow"/>
        <family val="0"/>
      </rPr>
      <t>" to cover TOTAL production costs; enter "</t>
    </r>
    <r>
      <rPr>
        <b/>
        <i/>
        <sz val="8"/>
        <color indexed="14"/>
        <rFont val="Arial Narrow"/>
        <family val="0"/>
      </rPr>
      <t>O</t>
    </r>
    <r>
      <rPr>
        <i/>
        <sz val="8"/>
        <color indexed="14"/>
        <rFont val="Arial Narrow"/>
        <family val="0"/>
      </rPr>
      <t>" to only cover operating costs:</t>
    </r>
  </si>
  <si>
    <t>Forastero wet bean sales</t>
  </si>
  <si>
    <t>the mean annual weighted average marketable yield.</t>
  </si>
  <si>
    <t xml:space="preserve">"Price" =  </t>
  </si>
  <si>
    <t>Criollo wet bean sales</t>
  </si>
  <si>
    <t xml:space="preserve"> Sensitivity of Management &amp; Investment Income per acre </t>
  </si>
  <si>
    <t>Management overhead</t>
  </si>
  <si>
    <t>Overhead sub-totals =&gt;</t>
  </si>
  <si>
    <t>Office expense</t>
  </si>
  <si>
    <t>Enter the total annual orchard cost =&gt;</t>
  </si>
  <si>
    <t>Professional services</t>
  </si>
  <si>
    <t xml:space="preserve">  change in yield (lbs./tree) =</t>
  </si>
  <si>
    <t xml:space="preserve">  change in price ($/lb.) =</t>
  </si>
  <si>
    <t xml:space="preserve">"Yield" = </t>
  </si>
  <si>
    <t>Change in price and yield:</t>
  </si>
  <si>
    <t>Management &amp; Investment Income per acre at various prices per pound &amp; yields (in pounds) per tree:</t>
  </si>
  <si>
    <t>Yield:</t>
  </si>
  <si>
    <t>Trees/ acre =</t>
  </si>
  <si>
    <t>Ave. lbs./tree =</t>
  </si>
  <si>
    <t>Ave. price ($/lb.) =&gt;</t>
  </si>
  <si>
    <t>Ave. yield (lbs./tree) =&gt;</t>
  </si>
  <si>
    <t>Prod. costs/ac. =</t>
  </si>
  <si>
    <t>Pod =&gt; wet-bean conversion ƒ =</t>
  </si>
  <si>
    <t>Wet =&gt; dry conversion ƒ =</t>
  </si>
  <si>
    <r>
      <t>Other cacao-related sales</t>
    </r>
    <r>
      <rPr>
        <i/>
        <sz val="10"/>
        <color indexed="9"/>
        <rFont val="Arial Narrow"/>
        <family val="0"/>
      </rPr>
      <t xml:space="preserve"> (enter annual total for enterprise</t>
    </r>
    <r>
      <rPr>
        <sz val="12"/>
        <color indexed="9"/>
        <rFont val="Arial Narrow"/>
        <family val="0"/>
      </rPr>
      <t>)</t>
    </r>
  </si>
  <si>
    <t>Price of "wet bean equivalent" =&gt;</t>
  </si>
  <si>
    <r>
      <t>I. T</t>
    </r>
    <r>
      <rPr>
        <b/>
        <sz val="9"/>
        <color indexed="9"/>
        <rFont val="Arial Narrow"/>
        <family val="0"/>
      </rPr>
      <t>OTAL</t>
    </r>
    <r>
      <rPr>
        <b/>
        <sz val="12"/>
        <color indexed="9"/>
        <rFont val="Arial Narrow"/>
        <family val="0"/>
      </rPr>
      <t xml:space="preserve"> R</t>
    </r>
    <r>
      <rPr>
        <b/>
        <sz val="9"/>
        <color indexed="9"/>
        <rFont val="Arial Narrow"/>
        <family val="0"/>
      </rPr>
      <t>EVENUE</t>
    </r>
    <r>
      <rPr>
        <b/>
        <sz val="12"/>
        <color indexed="9"/>
        <rFont val="Arial Narrow"/>
        <family val="0"/>
      </rPr>
      <t xml:space="preserve"> =</t>
    </r>
  </si>
  <si>
    <r>
      <t>II.  A</t>
    </r>
    <r>
      <rPr>
        <b/>
        <u val="single"/>
        <sz val="9"/>
        <color indexed="9"/>
        <rFont val="Arial Narrow"/>
        <family val="0"/>
      </rPr>
      <t>NNUAL</t>
    </r>
    <r>
      <rPr>
        <b/>
        <u val="single"/>
        <sz val="12"/>
        <color indexed="9"/>
        <rFont val="Arial Narrow"/>
        <family val="0"/>
      </rPr>
      <t xml:space="preserve"> O</t>
    </r>
    <r>
      <rPr>
        <b/>
        <u val="single"/>
        <sz val="9"/>
        <color indexed="9"/>
        <rFont val="Arial Narrow"/>
        <family val="0"/>
      </rPr>
      <t>PERATING</t>
    </r>
    <r>
      <rPr>
        <b/>
        <u val="single"/>
        <sz val="12"/>
        <color indexed="9"/>
        <rFont val="Arial Narrow"/>
        <family val="0"/>
      </rPr>
      <t xml:space="preserve"> C</t>
    </r>
    <r>
      <rPr>
        <b/>
        <u val="single"/>
        <sz val="9"/>
        <color indexed="9"/>
        <rFont val="Arial Narrow"/>
        <family val="0"/>
      </rPr>
      <t>OSTS</t>
    </r>
    <r>
      <rPr>
        <b/>
        <u val="single"/>
        <sz val="12"/>
        <color indexed="9"/>
        <rFont val="Arial Narrow"/>
        <family val="0"/>
      </rPr>
      <t>:</t>
    </r>
  </si>
  <si>
    <t>1. Enter spacing (in feet):</t>
  </si>
  <si>
    <t>Yield / orchard</t>
  </si>
  <si>
    <t>Number non-bearing trees @</t>
  </si>
  <si>
    <t>3. Enter total number of acres:</t>
  </si>
  <si>
    <t>Number partially bearing trees @</t>
  </si>
  <si>
    <t>Trees per acre =</t>
  </si>
  <si>
    <t>trees</t>
  </si>
  <si>
    <t>Total trees =</t>
  </si>
  <si>
    <t>Number of mature trees @</t>
  </si>
  <si>
    <t>Total trees &amp; ave mkt. yield wet beans/orchard (lbs) =</t>
  </si>
  <si>
    <t xml:space="preserve">+/- </t>
  </si>
  <si>
    <r>
      <t xml:space="preserve">Land charge: </t>
    </r>
    <r>
      <rPr>
        <sz val="9"/>
        <color indexed="9"/>
        <rFont val="Arial Narrow"/>
        <family val="0"/>
      </rPr>
      <t>(mortgage or lease rent &amp; property taxes)</t>
    </r>
  </si>
  <si>
    <t>Criollo wet beans</t>
  </si>
  <si>
    <t>x</t>
  </si>
  <si>
    <t>Diseae control sub-totals =&gt;</t>
  </si>
  <si>
    <t>Number of trees</t>
  </si>
  <si>
    <t>Periodic disease control</t>
  </si>
  <si>
    <t>¢ / pod</t>
  </si>
  <si>
    <t>Ave. wt. of mature pod (lbs) =</t>
  </si>
  <si>
    <t>Labor (hours/ orchard)</t>
  </si>
  <si>
    <t>Pest control:</t>
  </si>
  <si>
    <t>Pest control sub-totals =&gt;</t>
  </si>
  <si>
    <t>Chemicals (gals./ orchard)</t>
  </si>
  <si>
    <t>Harvesting (¢ /pod)</t>
  </si>
  <si>
    <t>Other cost sub-totals =&gt;</t>
  </si>
  <si>
    <t>Materials (amt./ orchard)</t>
  </si>
  <si>
    <t>Total growing costs/ year =</t>
  </si>
  <si>
    <t>Annual Harvesting Costs:</t>
  </si>
  <si>
    <t xml:space="preserve">   ¢ /</t>
  </si>
  <si>
    <t>unit:</t>
  </si>
  <si>
    <t>Therefore, M&amp;II is the total return to management &amp; owner equity (&amp; debt financing, if any.)</t>
  </si>
  <si>
    <r>
      <t>III.  A</t>
    </r>
    <r>
      <rPr>
        <b/>
        <sz val="9"/>
        <color indexed="9"/>
        <rFont val="Arial Narrow"/>
        <family val="0"/>
      </rPr>
      <t>NNUAL</t>
    </r>
    <r>
      <rPr>
        <b/>
        <sz val="12"/>
        <color indexed="9"/>
        <rFont val="Arial Narrow"/>
        <family val="0"/>
      </rPr>
      <t xml:space="preserve"> G</t>
    </r>
    <r>
      <rPr>
        <b/>
        <sz val="9"/>
        <color indexed="9"/>
        <rFont val="Arial Narrow"/>
        <family val="0"/>
      </rPr>
      <t>ROSS</t>
    </r>
    <r>
      <rPr>
        <b/>
        <sz val="12"/>
        <color indexed="9"/>
        <rFont val="Arial Narrow"/>
        <family val="0"/>
      </rPr>
      <t xml:space="preserve"> M</t>
    </r>
    <r>
      <rPr>
        <b/>
        <sz val="9"/>
        <color indexed="9"/>
        <rFont val="Arial Narrow"/>
        <family val="0"/>
      </rPr>
      <t>ARGIN</t>
    </r>
    <r>
      <rPr>
        <b/>
        <sz val="12"/>
        <color indexed="9"/>
        <rFont val="Arial Narrow"/>
        <family val="0"/>
      </rPr>
      <t xml:space="preserve"> =</t>
    </r>
  </si>
  <si>
    <r>
      <t>IV.  A</t>
    </r>
    <r>
      <rPr>
        <b/>
        <u val="single"/>
        <sz val="9"/>
        <color indexed="9"/>
        <rFont val="Arial Narrow"/>
        <family val="0"/>
      </rPr>
      <t>NNUAL</t>
    </r>
    <r>
      <rPr>
        <b/>
        <u val="single"/>
        <sz val="12"/>
        <color indexed="9"/>
        <rFont val="Arial Narrow"/>
        <family val="0"/>
      </rPr>
      <t xml:space="preserve"> O</t>
    </r>
    <r>
      <rPr>
        <b/>
        <u val="single"/>
        <sz val="9"/>
        <color indexed="9"/>
        <rFont val="Arial Narrow"/>
        <family val="0"/>
      </rPr>
      <t>WNERSHIP</t>
    </r>
    <r>
      <rPr>
        <b/>
        <u val="single"/>
        <sz val="12"/>
        <color indexed="9"/>
        <rFont val="Arial Narrow"/>
        <family val="0"/>
      </rPr>
      <t xml:space="preserve"> C</t>
    </r>
    <r>
      <rPr>
        <b/>
        <u val="single"/>
        <sz val="9"/>
        <color indexed="9"/>
        <rFont val="Arial Narrow"/>
        <family val="0"/>
      </rPr>
      <t>OSTS</t>
    </r>
    <r>
      <rPr>
        <b/>
        <u val="single"/>
        <sz val="12"/>
        <color indexed="9"/>
        <rFont val="Arial Narrow"/>
        <family val="0"/>
      </rPr>
      <t>:</t>
    </r>
  </si>
  <si>
    <t>sub-totals =&gt;</t>
  </si>
  <si>
    <t>Risk management</t>
  </si>
  <si>
    <t>Risk Management sub-totals =&gt;</t>
  </si>
  <si>
    <t>Revenue insurance</t>
  </si>
  <si>
    <t>of gross income</t>
  </si>
  <si>
    <t>Liability insurance</t>
  </si>
  <si>
    <t>: 100% Criollo Wet Bean</t>
  </si>
  <si>
    <r>
      <t>Annual Growing costs</t>
    </r>
    <r>
      <rPr>
        <sz val="9"/>
        <color indexed="9"/>
        <rFont val="Arial Narrow"/>
        <family val="0"/>
      </rPr>
      <t xml:space="preserve"> (w/ units</t>
    </r>
    <r>
      <rPr>
        <sz val="12"/>
        <color indexed="9"/>
        <rFont val="Arial Narrow"/>
        <family val="0"/>
      </rPr>
      <t>):</t>
    </r>
  </si>
  <si>
    <t>units</t>
  </si>
  <si>
    <t>Fertilization</t>
  </si>
  <si>
    <t>Fertilization sub-totals =&gt;</t>
  </si>
  <si>
    <t>Fertilizer (lbs./tree)</t>
  </si>
  <si>
    <t>Machinery (hours/orchard)</t>
  </si>
  <si>
    <t>Hand labor (min./tree)</t>
  </si>
  <si>
    <t>Irrigation:</t>
  </si>
  <si>
    <t>Irrigation sub-totals =&gt;</t>
  </si>
  <si>
    <t>Water (1,000 gals./ orchard)</t>
  </si>
  <si>
    <t>Pumping (hours/ orchard)</t>
  </si>
  <si>
    <t>Scenario</t>
  </si>
  <si>
    <t>B</t>
  </si>
  <si>
    <t>Yield wet beans/ average tree  =</t>
  </si>
  <si>
    <t>lbs.</t>
  </si>
  <si>
    <t>Total acreage of orchard (ac.) =</t>
  </si>
  <si>
    <t>Ave. # pods/ mature tree =</t>
  </si>
  <si>
    <t>Trees /acre =</t>
  </si>
  <si>
    <t>Wage rate hand labor  ($/hr.) =</t>
  </si>
  <si>
    <t>A</t>
  </si>
  <si>
    <t>Orchard establishment</t>
  </si>
  <si>
    <t>Orchard establishment sub-totals =&gt;</t>
  </si>
  <si>
    <r>
      <t>/tree amort.</t>
    </r>
    <r>
      <rPr>
        <sz val="6"/>
        <color indexed="9"/>
        <rFont val="Arial Narrow"/>
        <family val="0"/>
      </rPr>
      <t xml:space="preserve"> @</t>
    </r>
  </si>
  <si>
    <t>of orchard</t>
  </si>
  <si>
    <r>
      <t>IV. T</t>
    </r>
    <r>
      <rPr>
        <b/>
        <sz val="9"/>
        <color indexed="9"/>
        <rFont val="Arial Narrow"/>
        <family val="0"/>
      </rPr>
      <t>OTAL</t>
    </r>
    <r>
      <rPr>
        <b/>
        <sz val="12"/>
        <color indexed="9"/>
        <rFont val="Arial Narrow"/>
        <family val="0"/>
      </rPr>
      <t xml:space="preserve"> O</t>
    </r>
    <r>
      <rPr>
        <b/>
        <sz val="9"/>
        <color indexed="9"/>
        <rFont val="Arial Narrow"/>
        <family val="0"/>
      </rPr>
      <t>WNERSHIP</t>
    </r>
    <r>
      <rPr>
        <b/>
        <sz val="12"/>
        <color indexed="9"/>
        <rFont val="Arial Narrow"/>
        <family val="0"/>
      </rPr>
      <t xml:space="preserve"> C</t>
    </r>
    <r>
      <rPr>
        <b/>
        <sz val="9"/>
        <color indexed="9"/>
        <rFont val="Arial Narrow"/>
        <family val="0"/>
      </rPr>
      <t>OSTS</t>
    </r>
    <r>
      <rPr>
        <b/>
        <sz val="12"/>
        <color indexed="9"/>
        <rFont val="Arial Narrow"/>
        <family val="0"/>
      </rPr>
      <t xml:space="preserve"> =</t>
    </r>
  </si>
  <si>
    <r>
      <t>V. T</t>
    </r>
    <r>
      <rPr>
        <b/>
        <sz val="9"/>
        <color indexed="9"/>
        <rFont val="Arial Narrow"/>
        <family val="0"/>
      </rPr>
      <t>OTAL</t>
    </r>
    <r>
      <rPr>
        <b/>
        <sz val="12"/>
        <color indexed="9"/>
        <rFont val="Arial Narrow"/>
        <family val="0"/>
      </rPr>
      <t xml:space="preserve"> C</t>
    </r>
    <r>
      <rPr>
        <b/>
        <sz val="9"/>
        <color indexed="9"/>
        <rFont val="Arial Narrow"/>
        <family val="0"/>
      </rPr>
      <t>OST</t>
    </r>
    <r>
      <rPr>
        <b/>
        <sz val="12"/>
        <color indexed="9"/>
        <rFont val="Arial Narrow"/>
        <family val="0"/>
      </rPr>
      <t xml:space="preserve"> </t>
    </r>
    <r>
      <rPr>
        <b/>
        <sz val="9"/>
        <color indexed="9"/>
        <rFont val="Arial Narrow"/>
        <family val="0"/>
      </rPr>
      <t>OF</t>
    </r>
    <r>
      <rPr>
        <b/>
        <sz val="12"/>
        <color indexed="9"/>
        <rFont val="Arial Narrow"/>
        <family val="0"/>
      </rPr>
      <t xml:space="preserve"> P</t>
    </r>
    <r>
      <rPr>
        <b/>
        <sz val="9"/>
        <color indexed="9"/>
        <rFont val="Arial Narrow"/>
        <family val="0"/>
      </rPr>
      <t>RODUCTION</t>
    </r>
    <r>
      <rPr>
        <b/>
        <sz val="12"/>
        <color indexed="9"/>
        <rFont val="Arial Narrow"/>
        <family val="0"/>
      </rPr>
      <t xml:space="preserve"> </t>
    </r>
    <r>
      <rPr>
        <b/>
        <i/>
        <sz val="12"/>
        <color indexed="9"/>
        <rFont val="Arial Narrow"/>
        <family val="0"/>
      </rPr>
      <t>(</t>
    </r>
    <r>
      <rPr>
        <b/>
        <i/>
        <sz val="9"/>
        <color indexed="9"/>
        <rFont val="Arial Narrow"/>
        <family val="0"/>
      </rPr>
      <t>EXCEPT M&amp;II)</t>
    </r>
    <r>
      <rPr>
        <b/>
        <sz val="12"/>
        <color indexed="9"/>
        <rFont val="Arial Narrow"/>
        <family val="0"/>
      </rPr>
      <t xml:space="preserve"> =</t>
    </r>
  </si>
  <si>
    <t>Tree density calculator:</t>
  </si>
  <si>
    <t>Forastero wet beans</t>
  </si>
  <si>
    <t>lbs.wet beans</t>
  </si>
  <si>
    <t>@~</t>
  </si>
  <si>
    <t>%</t>
  </si>
  <si>
    <t>$</t>
  </si>
  <si>
    <t>$</t>
  </si>
  <si>
    <t>%</t>
  </si>
  <si>
    <t>Enter the amount of change &amp; select whether the change is to be in % or $ or #:</t>
  </si>
  <si>
    <t>Benefits (FICA, etc.) (%) =</t>
  </si>
  <si>
    <t>Machinery (hours/ orchard)</t>
  </si>
  <si>
    <t>Hand labor (min./ tree)</t>
  </si>
  <si>
    <t>Weed control:</t>
  </si>
  <si>
    <t>Weed control sub-totals =&gt;</t>
  </si>
  <si>
    <t>Pruning:</t>
  </si>
  <si>
    <t>Pruning sub-totals =&gt;</t>
  </si>
  <si>
    <t xml:space="preserve">A. </t>
  </si>
  <si>
    <r>
      <t xml:space="preserve">Annual Growing costs: </t>
    </r>
    <r>
      <rPr>
        <i/>
        <sz val="10"/>
        <color indexed="9"/>
        <rFont val="Arial Narrow"/>
        <family val="0"/>
      </rPr>
      <t>(continued)</t>
    </r>
    <r>
      <rPr>
        <sz val="12"/>
        <color indexed="9"/>
        <rFont val="Arial Narrow"/>
        <family val="0"/>
      </rPr>
      <t>:</t>
    </r>
  </si>
  <si>
    <t>Other cost</t>
  </si>
  <si>
    <t>Pods (no. pods @ $/pod)</t>
  </si>
  <si>
    <t>C.</t>
  </si>
  <si>
    <t>Dry beans (lbs. @ $/lb.)</t>
  </si>
  <si>
    <t>D.</t>
  </si>
  <si>
    <t>¢/lb.wet bean</t>
  </si>
  <si>
    <t>Fermentation &amp; drying</t>
  </si>
  <si>
    <t>Delivery to processor</t>
  </si>
  <si>
    <t>Total harvesting costs/ year =</t>
  </si>
  <si>
    <r>
      <t>II. T</t>
    </r>
    <r>
      <rPr>
        <b/>
        <sz val="9"/>
        <color indexed="9"/>
        <rFont val="Arial Narrow"/>
        <family val="0"/>
      </rPr>
      <t>OTAL</t>
    </r>
    <r>
      <rPr>
        <b/>
        <sz val="12"/>
        <color indexed="9"/>
        <rFont val="Arial Narrow"/>
        <family val="0"/>
      </rPr>
      <t xml:space="preserve"> O</t>
    </r>
    <r>
      <rPr>
        <b/>
        <sz val="9"/>
        <color indexed="9"/>
        <rFont val="Arial Narrow"/>
        <family val="0"/>
      </rPr>
      <t>PERATING</t>
    </r>
    <r>
      <rPr>
        <b/>
        <sz val="12"/>
        <color indexed="9"/>
        <rFont val="Arial Narrow"/>
        <family val="0"/>
      </rPr>
      <t xml:space="preserve"> C</t>
    </r>
    <r>
      <rPr>
        <b/>
        <sz val="9"/>
        <color indexed="9"/>
        <rFont val="Arial Narrow"/>
        <family val="0"/>
      </rPr>
      <t>OSTS</t>
    </r>
    <r>
      <rPr>
        <b/>
        <sz val="12"/>
        <color indexed="9"/>
        <rFont val="Arial Narrow"/>
        <family val="0"/>
      </rPr>
      <t xml:space="preserve">  =</t>
    </r>
  </si>
  <si>
    <t>T</t>
  </si>
  <si>
    <t>Extraction  (¢ /lb. of wet bean)</t>
  </si>
  <si>
    <t xml:space="preserve">    to small changes in wet bean price per pound and marketable yield in pounds per tree.</t>
  </si>
  <si>
    <t xml:space="preserve">"Management &amp; Investment Income" = annual sales minus all operating and ownership costs. </t>
  </si>
  <si>
    <t>the mean annual weighted average market price.</t>
  </si>
  <si>
    <t>: 100% Forastero Wet Bean</t>
  </si>
  <si>
    <t>Weighted ave. price ($/lb.) and ave. mature yield/tree =</t>
  </si>
  <si>
    <t>2. Enter % of total land area required for</t>
  </si>
  <si>
    <t>Age of trees:</t>
  </si>
  <si>
    <t>% of mature yield</t>
  </si>
  <si>
    <t xml:space="preserve">  roads, packing house, etc. :</t>
  </si>
  <si>
    <r>
      <t>VI. M</t>
    </r>
    <r>
      <rPr>
        <b/>
        <sz val="10"/>
        <color indexed="9"/>
        <rFont val="Arial Narrow"/>
        <family val="0"/>
      </rPr>
      <t>ANAGEMENT</t>
    </r>
    <r>
      <rPr>
        <b/>
        <sz val="13"/>
        <color indexed="9"/>
        <rFont val="Arial Narrow"/>
        <family val="0"/>
      </rPr>
      <t xml:space="preserve"> &amp; I</t>
    </r>
    <r>
      <rPr>
        <b/>
        <sz val="10"/>
        <color indexed="9"/>
        <rFont val="Arial Narrow"/>
        <family val="0"/>
      </rPr>
      <t>NVESTMENT</t>
    </r>
    <r>
      <rPr>
        <b/>
        <sz val="13"/>
        <color indexed="9"/>
        <rFont val="Arial Narrow"/>
        <family val="0"/>
      </rPr>
      <t xml:space="preserve"> I</t>
    </r>
    <r>
      <rPr>
        <b/>
        <sz val="10"/>
        <color indexed="9"/>
        <rFont val="Arial Narrow"/>
        <family val="0"/>
      </rPr>
      <t>NCOME (M&amp;II)</t>
    </r>
    <r>
      <rPr>
        <b/>
        <sz val="13"/>
        <color indexed="9"/>
        <rFont val="Arial Narrow"/>
        <family val="0"/>
      </rPr>
      <t xml:space="preserve"> =</t>
    </r>
  </si>
  <si>
    <t>Simple break-even analysis:</t>
  </si>
  <si>
    <t>Given the weighted average price of</t>
  </si>
  <si>
    <t>Given the actual marketable yield of</t>
  </si>
  <si>
    <t>Assumptions:</t>
  </si>
  <si>
    <t xml:space="preserve">Blue cells are the variables to modify, black numbers are calculated automatically.  </t>
  </si>
  <si>
    <t>Tree variety mix:</t>
  </si>
  <si>
    <t>% of orchard planted in variety:</t>
  </si>
  <si>
    <t>Ave. $/lb.</t>
  </si>
  <si>
    <t>Yield / tree</t>
  </si>
  <si>
    <r>
      <t>I.  A</t>
    </r>
    <r>
      <rPr>
        <b/>
        <u val="single"/>
        <sz val="9"/>
        <color indexed="9"/>
        <rFont val="Arial Narrow"/>
        <family val="0"/>
      </rPr>
      <t>NNUAL</t>
    </r>
    <r>
      <rPr>
        <b/>
        <u val="single"/>
        <sz val="12"/>
        <color indexed="9"/>
        <rFont val="Arial Narrow"/>
        <family val="0"/>
      </rPr>
      <t xml:space="preserve"> G</t>
    </r>
    <r>
      <rPr>
        <b/>
        <u val="single"/>
        <sz val="9"/>
        <color indexed="9"/>
        <rFont val="Arial Narrow"/>
        <family val="0"/>
      </rPr>
      <t>ROSS</t>
    </r>
    <r>
      <rPr>
        <b/>
        <u val="single"/>
        <sz val="12"/>
        <color indexed="9"/>
        <rFont val="Arial Narrow"/>
        <family val="0"/>
      </rPr>
      <t xml:space="preserve"> R</t>
    </r>
    <r>
      <rPr>
        <b/>
        <u val="single"/>
        <sz val="9"/>
        <color indexed="9"/>
        <rFont val="Arial Narrow"/>
        <family val="0"/>
      </rPr>
      <t>EVENUE</t>
    </r>
    <r>
      <rPr>
        <b/>
        <u val="single"/>
        <sz val="12"/>
        <color indexed="9"/>
        <rFont val="Arial Narrow"/>
        <family val="0"/>
      </rPr>
      <t>:</t>
    </r>
  </si>
  <si>
    <t>%</t>
  </si>
  <si>
    <t>Total units</t>
  </si>
  <si>
    <t>$/unit:</t>
  </si>
  <si>
    <t>¢/lb wet beans</t>
  </si>
  <si>
    <t>$ /tree:</t>
  </si>
  <si>
    <t>$ /acre:</t>
  </si>
  <si>
    <t>$ /orchard:</t>
  </si>
  <si>
    <t>% of gross</t>
  </si>
  <si>
    <t>A.</t>
  </si>
  <si>
    <t>Wet beans (lbs. @ $/lb.)</t>
  </si>
  <si>
    <t>@</t>
  </si>
  <si>
    <t>B.</t>
  </si>
  <si>
    <t>B.</t>
  </si>
  <si>
    <t>C</t>
  </si>
  <si>
    <t>D</t>
  </si>
  <si>
    <t>E</t>
  </si>
  <si>
    <t>Costs associated w/ other income</t>
  </si>
  <si>
    <t>Enter the annual orchard cost =&gt;</t>
  </si>
  <si>
    <t>Annual replacement rate @</t>
  </si>
  <si>
    <t>Establishment cost</t>
  </si>
  <si>
    <t>Machinery (hours/ orchard)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</si>
</sst>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US$&quot;* #,##0_-;\-&quot;US$&quot;* #,##0_-;_-&quot;US$&quot;* &quot;-&quot;_-;_-@_-"/>
    <numFmt numFmtId="165" formatCode="_-* #,##0_-;\-* #,##0_-;_-* &quot;-&quot;_-;_-@_-"/>
    <numFmt numFmtId="166" formatCode="_-&quot;US$&quot;* #,##0.00_-;\-&quot;US$&quot;* #,##0.00_-;_-&quot;US$&quot;* &quot;-&quot;??_-;_-@_-"/>
    <numFmt numFmtId="167" formatCode="_-* #,##0.00_-;\-* #,##0.00_-;_-* &quot;-&quot;??_-;_-@_-"/>
    <numFmt numFmtId="168" formatCode="[$$-409]#,##0.00\ ;&quot;-&quot;[$$-409]#,##0.00\ "/>
    <numFmt numFmtId="169" formatCode="#,##0.00\ ;&quot;-&quot;#,##0.00\ "/>
    <numFmt numFmtId="170" formatCode="#,##0.0\ ;&quot;-&quot;#,##0.0\ "/>
    <numFmt numFmtId="171" formatCode="[$$-409]#,##0.00"/>
    <numFmt numFmtId="172" formatCode="#,##0\ ;&quot;-&quot;#,##0\ "/>
    <numFmt numFmtId="173" formatCode="0.0"/>
    <numFmt numFmtId="174" formatCode="#,##0.0"/>
    <numFmt numFmtId="175" formatCode="\ * #,##0.00\ ;&quot;-&quot;* #,##0.00\ ;\ * &quot;-&quot;??\ "/>
    <numFmt numFmtId="176" formatCode="0.0%"/>
    <numFmt numFmtId="177" formatCode="&quot;US$&quot;#,##0.00;&quot;-US$&quot;#,##0.00"/>
    <numFmt numFmtId="178" formatCode="\ * #,##0.0\ ;&quot;-&quot;* #,##0.0\ ;\ * &quot;-&quot;?\ "/>
    <numFmt numFmtId="179" formatCode="[$$-409]#,##0_ ;[Red]\-[$$-409]#,##0\ "/>
    <numFmt numFmtId="180" formatCode="#,##0.000\ ;&quot;-&quot;#,##0.000\ "/>
  </numFmts>
  <fonts count="47">
    <font>
      <sz val="11"/>
      <color indexed="8"/>
      <name val="Helvetica Neue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color indexed="9"/>
      <name val="Arial Narrow"/>
      <family val="0"/>
    </font>
    <font>
      <b/>
      <u val="single"/>
      <sz val="12"/>
      <color indexed="9"/>
      <name val="Arial Narrow"/>
      <family val="0"/>
    </font>
    <font>
      <i/>
      <sz val="8"/>
      <color indexed="9"/>
      <name val="Arial Narrow"/>
      <family val="0"/>
    </font>
    <font>
      <sz val="12"/>
      <color indexed="12"/>
      <name val="Arial Narrow"/>
      <family val="0"/>
    </font>
    <font>
      <i/>
      <sz val="10"/>
      <color indexed="14"/>
      <name val="Arial Narrow"/>
      <family val="0"/>
    </font>
    <font>
      <i/>
      <sz val="8"/>
      <color indexed="14"/>
      <name val="Arial Narrow"/>
      <family val="0"/>
    </font>
    <font>
      <i/>
      <sz val="12"/>
      <color indexed="14"/>
      <name val="Arial Narrow"/>
      <family val="0"/>
    </font>
    <font>
      <i/>
      <sz val="9"/>
      <color indexed="9"/>
      <name val="Arial Narrow"/>
      <family val="0"/>
    </font>
    <font>
      <sz val="11"/>
      <color indexed="9"/>
      <name val="Arial Narrow"/>
      <family val="0"/>
    </font>
    <font>
      <sz val="10"/>
      <color indexed="9"/>
      <name val="Arial Narrow"/>
      <family val="0"/>
    </font>
    <font>
      <i/>
      <sz val="11"/>
      <color indexed="9"/>
      <name val="Arial Narrow"/>
      <family val="0"/>
    </font>
    <font>
      <b/>
      <i/>
      <sz val="10"/>
      <color indexed="17"/>
      <name val="Arial Narrow"/>
      <family val="0"/>
    </font>
    <font>
      <b/>
      <i/>
      <sz val="10"/>
      <color indexed="9"/>
      <name val="Arial Narrow"/>
      <family val="0"/>
    </font>
    <font>
      <sz val="9"/>
      <color indexed="9"/>
      <name val="Arial Narrow"/>
      <family val="0"/>
    </font>
    <font>
      <b/>
      <sz val="11"/>
      <color indexed="9"/>
      <name val="Arial Narrow"/>
      <family val="0"/>
    </font>
    <font>
      <b/>
      <sz val="12"/>
      <color indexed="9"/>
      <name val="Arial Narrow"/>
      <family val="0"/>
    </font>
    <font>
      <sz val="12"/>
      <color indexed="18"/>
      <name val="Arial Narrow"/>
      <family val="0"/>
    </font>
    <font>
      <b/>
      <u val="single"/>
      <sz val="9"/>
      <color indexed="9"/>
      <name val="Arial Narrow"/>
      <family val="0"/>
    </font>
    <font>
      <b/>
      <sz val="10"/>
      <color indexed="14"/>
      <name val="Arial Narrow"/>
      <family val="0"/>
    </font>
    <font>
      <b/>
      <i/>
      <sz val="9"/>
      <color indexed="14"/>
      <name val="Arial Narrow"/>
      <family val="0"/>
    </font>
    <font>
      <b/>
      <i/>
      <sz val="8"/>
      <color indexed="14"/>
      <name val="Arial Narrow"/>
      <family val="0"/>
    </font>
    <font>
      <b/>
      <i/>
      <sz val="9"/>
      <color indexed="9"/>
      <name val="Arial Narrow"/>
      <family val="0"/>
    </font>
    <font>
      <i/>
      <sz val="10"/>
      <color indexed="9"/>
      <name val="Arial Narrow"/>
      <family val="0"/>
    </font>
    <font>
      <b/>
      <sz val="9"/>
      <color indexed="9"/>
      <name val="Arial Narrow"/>
      <family val="0"/>
    </font>
    <font>
      <b/>
      <i/>
      <sz val="11"/>
      <color indexed="9"/>
      <name val="Arial Narrow"/>
      <family val="0"/>
    </font>
    <font>
      <b/>
      <i/>
      <sz val="12"/>
      <color indexed="9"/>
      <name val="Arial Narrow"/>
      <family val="0"/>
    </font>
    <font>
      <u val="single"/>
      <sz val="12"/>
      <color indexed="9"/>
      <name val="Arial Narrow"/>
      <family val="0"/>
    </font>
    <font>
      <i/>
      <sz val="12"/>
      <color indexed="9"/>
      <name val="Arial Narrow"/>
      <family val="0"/>
    </font>
    <font>
      <i/>
      <sz val="12"/>
      <color indexed="12"/>
      <name val="Arial Narrow"/>
      <family val="0"/>
    </font>
    <font>
      <sz val="6"/>
      <color indexed="9"/>
      <name val="Arial Narrow"/>
      <family val="0"/>
    </font>
    <font>
      <b/>
      <sz val="13"/>
      <color indexed="9"/>
      <name val="Arial Narrow"/>
      <family val="0"/>
    </font>
    <font>
      <b/>
      <sz val="10"/>
      <color indexed="9"/>
      <name val="Arial Narrow"/>
      <family val="0"/>
    </font>
    <font>
      <b/>
      <sz val="12"/>
      <color indexed="12"/>
      <name val="Arial Narrow"/>
      <family val="0"/>
    </font>
    <font>
      <i/>
      <sz val="14"/>
      <color indexed="9"/>
      <name val="Arial Narrow"/>
      <family val="0"/>
    </font>
    <font>
      <sz val="11"/>
      <color indexed="12"/>
      <name val="Arial Narrow"/>
      <family val="0"/>
    </font>
    <font>
      <sz val="8"/>
      <name val="Arial Narrow"/>
      <family val="0"/>
    </font>
    <font>
      <b/>
      <i/>
      <sz val="7"/>
      <color indexed="14"/>
      <name val="Arial Narrow"/>
      <family val="0"/>
    </font>
    <font>
      <i/>
      <sz val="7"/>
      <color indexed="14"/>
      <name val="Arial Narrow"/>
      <family val="0"/>
    </font>
    <font>
      <sz val="8"/>
      <color indexed="9"/>
      <name val="Arial Narrow"/>
      <family val="0"/>
    </font>
    <font>
      <b/>
      <i/>
      <sz val="8"/>
      <color indexed="21"/>
      <name val="Arial Narrow"/>
      <family val="0"/>
    </font>
    <font>
      <i/>
      <sz val="10"/>
      <color indexed="21"/>
      <name val="Arial Narrow"/>
      <family val="0"/>
    </font>
    <font>
      <i/>
      <sz val="9"/>
      <color indexed="21"/>
      <name val="Arial Narrow"/>
      <family val="0"/>
    </font>
    <font>
      <i/>
      <sz val="8"/>
      <color indexed="21"/>
      <name val="Arial Narrow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2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>
        <color indexed="12"/>
      </right>
      <top style="medium">
        <color indexed="9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12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ck">
        <color indexed="12"/>
      </right>
      <top style="thick">
        <color indexed="12"/>
      </top>
      <bottom style="medium">
        <color indexed="9"/>
      </bottom>
    </border>
    <border>
      <left style="medium">
        <color indexed="9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12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ck">
        <color indexed="12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medium">
        <color indexed="9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medium">
        <color indexed="9"/>
      </top>
      <bottom style="thick">
        <color indexed="12"/>
      </bottom>
    </border>
    <border>
      <left style="thick">
        <color indexed="12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medium">
        <color indexed="9"/>
      </bottom>
    </border>
    <border>
      <left style="thick">
        <color indexed="12"/>
      </left>
      <right style="medium">
        <color indexed="9"/>
      </right>
      <top style="thick">
        <color indexed="12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ck">
        <color indexed="12"/>
      </right>
      <top style="thin">
        <color indexed="9"/>
      </top>
      <bottom>
        <color indexed="63"/>
      </bottom>
    </border>
    <border>
      <left style="thick">
        <color indexed="12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ck">
        <color indexed="12"/>
      </left>
      <right style="medium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12"/>
      </top>
      <bottom style="thick">
        <color indexed="12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1"/>
      </left>
      <right style="thick">
        <color indexed="12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ck">
        <color indexed="12"/>
      </right>
      <top style="thin">
        <color indexed="11"/>
      </top>
      <bottom style="medium">
        <color indexed="9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medium">
        <color indexed="9"/>
      </bottom>
    </border>
    <border>
      <left style="thick">
        <color indexed="12"/>
      </left>
      <right>
        <color indexed="63"/>
      </right>
      <top style="thick">
        <color indexed="12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ck">
        <color indexed="12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>
        <color indexed="63"/>
      </right>
      <top style="thick">
        <color indexed="12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ck">
        <color indexed="12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12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ck">
        <color indexed="12"/>
      </bottom>
    </border>
    <border>
      <left style="thick">
        <color indexed="12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ck">
        <color indexed="12"/>
      </left>
      <right style="thin">
        <color indexed="11"/>
      </right>
      <top style="thick">
        <color indexed="12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ck">
        <color indexed="12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ck">
        <color indexed="12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1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ck">
        <color indexed="12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12"/>
      </left>
      <right style="thin">
        <color indexed="9"/>
      </right>
      <top style="thin">
        <color indexed="9"/>
      </top>
      <bottom style="thin">
        <color indexed="11"/>
      </bottom>
    </border>
    <border>
      <left style="thick">
        <color indexed="12"/>
      </left>
      <right style="thin">
        <color indexed="9"/>
      </right>
      <top style="thin">
        <color indexed="11"/>
      </top>
      <bottom style="thin">
        <color indexed="9"/>
      </bottom>
    </border>
    <border>
      <left style="thick">
        <color indexed="12"/>
      </left>
      <right style="thick">
        <color indexed="12"/>
      </right>
      <top style="thin">
        <color indexed="11"/>
      </top>
      <bottom style="thick">
        <color indexed="12"/>
      </bottom>
    </border>
    <border>
      <left style="thin">
        <color indexed="11"/>
      </left>
      <right style="thick">
        <color indexed="12"/>
      </right>
      <top style="thick">
        <color indexed="12"/>
      </top>
      <bottom style="thin">
        <color indexed="11"/>
      </bottom>
    </border>
    <border>
      <left style="thick">
        <color indexed="12"/>
      </left>
      <right style="thin">
        <color indexed="9"/>
      </right>
      <top style="thick">
        <color indexed="12"/>
      </top>
      <bottom style="thin">
        <color indexed="11"/>
      </bottom>
    </border>
    <border>
      <left>
        <color indexed="63"/>
      </left>
      <right style="medium">
        <color indexed="9"/>
      </right>
      <top style="thick">
        <color indexed="12"/>
      </top>
      <bottom>
        <color indexed="63"/>
      </bottom>
    </border>
    <border>
      <left style="thin">
        <color indexed="11"/>
      </left>
      <right style="thick">
        <color indexed="12"/>
      </right>
      <top style="medium">
        <color indexed="9"/>
      </top>
      <bottom style="thin">
        <color indexed="11"/>
      </bottom>
    </border>
    <border>
      <left style="medium">
        <color indexed="9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12"/>
      </left>
      <right style="medium">
        <color indexed="9"/>
      </right>
      <top style="medium">
        <color indexed="9"/>
      </top>
      <bottom>
        <color indexed="63"/>
      </bottom>
    </border>
    <border>
      <left style="thick">
        <color indexed="12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>
        <color indexed="63"/>
      </bottom>
    </border>
    <border>
      <left style="thin">
        <color indexed="11"/>
      </left>
      <right style="medium">
        <color indexed="9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9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9"/>
      </top>
      <bottom style="thin">
        <color indexed="1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11"/>
      </bottom>
    </border>
    <border>
      <left style="thick">
        <color indexed="12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>
        <color indexed="63"/>
      </bottom>
    </border>
    <border>
      <left style="thin">
        <color indexed="11"/>
      </left>
      <right style="thick">
        <color indexed="12"/>
      </right>
      <top>
        <color indexed="63"/>
      </top>
      <bottom style="thin">
        <color indexed="9"/>
      </bottom>
    </border>
    <border>
      <left style="thick">
        <color indexed="12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medium"/>
      <right style="thin">
        <color indexed="11"/>
      </right>
      <top style="medium"/>
      <bottom style="medium"/>
    </border>
    <border>
      <left style="thin">
        <color indexed="11"/>
      </left>
      <right style="thin">
        <color indexed="11"/>
      </right>
      <top style="medium"/>
      <bottom style="medium"/>
    </border>
    <border>
      <left style="thin">
        <color indexed="11"/>
      </left>
      <right style="medium"/>
      <top style="medium"/>
      <bottom style="medium"/>
    </border>
    <border>
      <left style="thin">
        <color indexed="11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11"/>
      </left>
      <right style="thin">
        <color indexed="11"/>
      </right>
      <top style="thick">
        <color indexed="12"/>
      </top>
      <bottom style="thick">
        <color indexed="12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medium">
        <color indexed="9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medium"/>
      <bottom style="thin">
        <color indexed="11"/>
      </bottom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medium"/>
      <right style="thin">
        <color indexed="11"/>
      </right>
      <top style="medium"/>
      <bottom style="thin">
        <color indexed="11"/>
      </bottom>
    </border>
    <border>
      <left style="thin">
        <color indexed="11"/>
      </left>
      <right style="thin">
        <color indexed="11"/>
      </right>
      <top style="medium"/>
      <bottom style="thick">
        <color indexed="12"/>
      </bottom>
    </border>
    <border>
      <left style="thin">
        <color indexed="11"/>
      </left>
      <right style="medium"/>
      <top style="medium"/>
      <bottom style="thin">
        <color indexed="11"/>
      </bottom>
    </border>
    <border>
      <left style="medium"/>
      <right style="thick">
        <color indexed="12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/>
      <top style="thin">
        <color indexed="11"/>
      </top>
      <bottom style="thin">
        <color indexed="11"/>
      </bottom>
    </border>
    <border>
      <left style="medium"/>
      <right style="thin">
        <color indexed="11"/>
      </right>
      <top style="thin">
        <color indexed="11"/>
      </top>
      <bottom style="medium"/>
    </border>
    <border>
      <left style="thin">
        <color indexed="11"/>
      </left>
      <right style="thin">
        <color indexed="11"/>
      </right>
      <top style="thick">
        <color indexed="12"/>
      </top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medium"/>
    </border>
    <border>
      <left style="thin">
        <color indexed="11"/>
      </left>
      <right style="medium"/>
      <top style="thin">
        <color indexed="11"/>
      </top>
      <bottom style="medium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11"/>
      </left>
      <right style="thin">
        <color indexed="11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11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1"/>
      </left>
      <right style="thick">
        <color indexed="12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ck">
        <color indexed="12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>
        <color indexed="63"/>
      </left>
      <right style="thin">
        <color indexed="11"/>
      </right>
      <top>
        <color indexed="63"/>
      </top>
      <bottom style="medium"/>
    </border>
    <border>
      <left style="thin">
        <color indexed="11"/>
      </left>
      <right style="thin">
        <color indexed="11"/>
      </right>
      <top>
        <color indexed="63"/>
      </top>
      <bottom style="medium"/>
    </border>
    <border>
      <left style="thin">
        <color indexed="11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1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9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medium">
        <color indexed="9"/>
      </right>
      <top style="thick">
        <color indexed="12"/>
      </top>
      <bottom style="thick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4" fillId="2" borderId="1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0" fontId="7" fillId="3" borderId="7" xfId="0" applyNumberFormat="1" applyFont="1" applyFill="1" applyBorder="1" applyAlignment="1">
      <alignment vertical="center"/>
    </xf>
    <xf numFmtId="0" fontId="7" fillId="3" borderId="8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horizontal="right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right" vertical="center"/>
    </xf>
    <xf numFmtId="0" fontId="10" fillId="2" borderId="2" xfId="0" applyNumberFormat="1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vertical="center"/>
    </xf>
    <xf numFmtId="0" fontId="4" fillId="4" borderId="14" xfId="0" applyNumberFormat="1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vertical="center"/>
    </xf>
    <xf numFmtId="9" fontId="7" fillId="2" borderId="16" xfId="0" applyNumberFormat="1" applyFont="1" applyFill="1" applyBorder="1" applyAlignment="1">
      <alignment horizontal="center" vertical="center"/>
    </xf>
    <xf numFmtId="168" fontId="7" fillId="2" borderId="16" xfId="0" applyNumberFormat="1" applyFont="1" applyFill="1" applyBorder="1" applyAlignment="1">
      <alignment horizontal="center" vertical="center"/>
    </xf>
    <xf numFmtId="169" fontId="7" fillId="2" borderId="16" xfId="0" applyNumberFormat="1" applyFont="1" applyFill="1" applyBorder="1" applyAlignment="1">
      <alignment horizontal="center" vertical="center"/>
    </xf>
    <xf numFmtId="0" fontId="11" fillId="2" borderId="17" xfId="0" applyNumberFormat="1" applyFont="1" applyFill="1" applyBorder="1" applyAlignment="1">
      <alignment vertical="center"/>
    </xf>
    <xf numFmtId="0" fontId="13" fillId="5" borderId="14" xfId="0" applyNumberFormat="1" applyFont="1" applyFill="1" applyBorder="1" applyAlignment="1">
      <alignment vertical="center"/>
    </xf>
    <xf numFmtId="0" fontId="13" fillId="5" borderId="18" xfId="0" applyNumberFormat="1" applyFont="1" applyFill="1" applyBorder="1" applyAlignment="1">
      <alignment vertical="center"/>
    </xf>
    <xf numFmtId="0" fontId="13" fillId="5" borderId="19" xfId="0" applyNumberFormat="1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vertical="center"/>
    </xf>
    <xf numFmtId="0" fontId="4" fillId="4" borderId="20" xfId="0" applyNumberFormat="1" applyFont="1" applyFill="1" applyBorder="1" applyAlignment="1">
      <alignment vertical="center"/>
    </xf>
    <xf numFmtId="0" fontId="4" fillId="4" borderId="21" xfId="0" applyNumberFormat="1" applyFont="1" applyFill="1" applyBorder="1" applyAlignment="1">
      <alignment vertical="center"/>
    </xf>
    <xf numFmtId="9" fontId="14" fillId="4" borderId="22" xfId="0" applyNumberFormat="1" applyFont="1" applyFill="1" applyBorder="1" applyAlignment="1">
      <alignment horizontal="center" vertical="center"/>
    </xf>
    <xf numFmtId="170" fontId="7" fillId="5" borderId="23" xfId="0" applyNumberFormat="1" applyFont="1" applyFill="1" applyBorder="1" applyAlignment="1">
      <alignment horizontal="center" vertical="center"/>
    </xf>
    <xf numFmtId="0" fontId="13" fillId="5" borderId="24" xfId="0" applyNumberFormat="1" applyFont="1" applyFill="1" applyBorder="1" applyAlignment="1">
      <alignment vertical="center"/>
    </xf>
    <xf numFmtId="170" fontId="7" fillId="5" borderId="16" xfId="0" applyNumberFormat="1" applyFont="1" applyFill="1" applyBorder="1" applyAlignment="1">
      <alignment horizontal="center" vertical="center"/>
    </xf>
    <xf numFmtId="0" fontId="13" fillId="5" borderId="25" xfId="0" applyNumberFormat="1" applyFont="1" applyFill="1" applyBorder="1" applyAlignment="1">
      <alignment vertical="center"/>
    </xf>
    <xf numFmtId="0" fontId="4" fillId="4" borderId="26" xfId="0" applyNumberFormat="1" applyFont="1" applyFill="1" applyBorder="1" applyAlignment="1">
      <alignment vertical="center"/>
    </xf>
    <xf numFmtId="0" fontId="4" fillId="4" borderId="27" xfId="0" applyNumberFormat="1" applyFont="1" applyFill="1" applyBorder="1" applyAlignment="1">
      <alignment vertical="center"/>
    </xf>
    <xf numFmtId="9" fontId="11" fillId="4" borderId="27" xfId="0" applyNumberFormat="1" applyFont="1" applyFill="1" applyBorder="1" applyAlignment="1">
      <alignment horizontal="right" vertical="center"/>
    </xf>
    <xf numFmtId="171" fontId="15" fillId="4" borderId="28" xfId="0" applyNumberFormat="1" applyFont="1" applyFill="1" applyBorder="1" applyAlignment="1">
      <alignment horizontal="center" vertical="center"/>
    </xf>
    <xf numFmtId="4" fontId="16" fillId="4" borderId="28" xfId="0" applyNumberFormat="1" applyFont="1" applyFill="1" applyBorder="1" applyAlignment="1">
      <alignment horizontal="center" vertical="center"/>
    </xf>
    <xf numFmtId="0" fontId="13" fillId="5" borderId="0" xfId="0" applyNumberFormat="1" applyFont="1" applyFill="1" applyBorder="1" applyAlignment="1">
      <alignment vertical="center"/>
    </xf>
    <xf numFmtId="0" fontId="13" fillId="5" borderId="29" xfId="0" applyNumberFormat="1" applyFont="1" applyFill="1" applyBorder="1" applyAlignment="1">
      <alignment vertical="center"/>
    </xf>
    <xf numFmtId="0" fontId="13" fillId="5" borderId="30" xfId="0" applyNumberFormat="1" applyFont="1" applyFill="1" applyBorder="1" applyAlignment="1">
      <alignment vertical="center"/>
    </xf>
    <xf numFmtId="0" fontId="4" fillId="2" borderId="31" xfId="0" applyNumberFormat="1" applyFont="1" applyFill="1" applyBorder="1" applyAlignment="1">
      <alignment vertical="center"/>
    </xf>
    <xf numFmtId="9" fontId="9" fillId="2" borderId="31" xfId="0" applyNumberFormat="1" applyFont="1" applyFill="1" applyBorder="1" applyAlignment="1">
      <alignment horizontal="right" vertical="center"/>
    </xf>
    <xf numFmtId="4" fontId="9" fillId="2" borderId="31" xfId="0" applyNumberFormat="1" applyFont="1" applyFill="1" applyBorder="1" applyAlignment="1">
      <alignment horizontal="center" vertical="center"/>
    </xf>
    <xf numFmtId="0" fontId="9" fillId="2" borderId="31" xfId="0" applyNumberFormat="1" applyFont="1" applyFill="1" applyBorder="1" applyAlignment="1">
      <alignment horizontal="center" vertical="center"/>
    </xf>
    <xf numFmtId="0" fontId="17" fillId="2" borderId="31" xfId="0" applyNumberFormat="1" applyFont="1" applyFill="1" applyBorder="1" applyAlignment="1">
      <alignment vertical="center"/>
    </xf>
    <xf numFmtId="0" fontId="17" fillId="2" borderId="3" xfId="0" applyNumberFormat="1" applyFont="1" applyFill="1" applyBorder="1" applyAlignment="1">
      <alignment vertical="center"/>
    </xf>
    <xf numFmtId="0" fontId="13" fillId="5" borderId="32" xfId="0" applyNumberFormat="1" applyFont="1" applyFill="1" applyBorder="1" applyAlignment="1">
      <alignment vertical="center"/>
    </xf>
    <xf numFmtId="0" fontId="12" fillId="4" borderId="13" xfId="0" applyNumberFormat="1" applyFont="1" applyFill="1" applyBorder="1" applyAlignment="1">
      <alignment vertical="center"/>
    </xf>
    <xf numFmtId="0" fontId="12" fillId="4" borderId="14" xfId="0" applyNumberFormat="1" applyFont="1" applyFill="1" applyBorder="1" applyAlignment="1">
      <alignment vertical="center"/>
    </xf>
    <xf numFmtId="9" fontId="4" fillId="4" borderId="33" xfId="0" applyNumberFormat="1" applyFont="1" applyFill="1" applyBorder="1" applyAlignment="1">
      <alignment horizontal="center" vertical="center"/>
    </xf>
    <xf numFmtId="172" fontId="7" fillId="2" borderId="34" xfId="0" applyNumberFormat="1" applyFont="1" applyFill="1" applyBorder="1" applyAlignment="1">
      <alignment horizontal="center" vertical="center"/>
    </xf>
    <xf numFmtId="173" fontId="4" fillId="4" borderId="35" xfId="0" applyNumberFormat="1" applyFont="1" applyFill="1" applyBorder="1" applyAlignment="1">
      <alignment horizontal="center" vertical="center"/>
    </xf>
    <xf numFmtId="0" fontId="17" fillId="2" borderId="17" xfId="0" applyNumberFormat="1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0" fontId="13" fillId="5" borderId="36" xfId="0" applyNumberFormat="1" applyFont="1" applyFill="1" applyBorder="1" applyAlignment="1">
      <alignment vertical="center"/>
    </xf>
    <xf numFmtId="170" fontId="7" fillId="5" borderId="37" xfId="0" applyNumberFormat="1" applyFont="1" applyFill="1" applyBorder="1" applyAlignment="1">
      <alignment horizontal="center" vertical="center"/>
    </xf>
    <xf numFmtId="0" fontId="12" fillId="4" borderId="38" xfId="0" applyNumberFormat="1" applyFont="1" applyFill="1" applyBorder="1" applyAlignment="1">
      <alignment vertical="center"/>
    </xf>
    <xf numFmtId="0" fontId="12" fillId="4" borderId="0" xfId="0" applyNumberFormat="1" applyFont="1" applyFill="1" applyBorder="1" applyAlignment="1">
      <alignment vertical="center"/>
    </xf>
    <xf numFmtId="0" fontId="4" fillId="4" borderId="32" xfId="0" applyNumberFormat="1" applyFont="1" applyFill="1" applyBorder="1" applyAlignment="1">
      <alignment vertical="center"/>
    </xf>
    <xf numFmtId="172" fontId="7" fillId="2" borderId="16" xfId="0" applyNumberFormat="1" applyFont="1" applyFill="1" applyBorder="1" applyAlignment="1">
      <alignment horizontal="center" vertical="center"/>
    </xf>
    <xf numFmtId="174" fontId="4" fillId="4" borderId="39" xfId="0" applyNumberFormat="1" applyFont="1" applyFill="1" applyBorder="1" applyAlignment="1">
      <alignment horizontal="center" vertical="center"/>
    </xf>
    <xf numFmtId="0" fontId="4" fillId="5" borderId="13" xfId="0" applyNumberFormat="1" applyFont="1" applyFill="1" applyBorder="1" applyAlignment="1">
      <alignment vertical="center"/>
    </xf>
    <xf numFmtId="1" fontId="18" fillId="5" borderId="14" xfId="0" applyNumberFormat="1" applyFont="1" applyFill="1" applyBorder="1" applyAlignment="1">
      <alignment horizontal="center" vertical="center"/>
    </xf>
    <xf numFmtId="0" fontId="17" fillId="5" borderId="19" xfId="0" applyNumberFormat="1" applyFont="1" applyFill="1" applyBorder="1" applyAlignment="1">
      <alignment vertical="center"/>
    </xf>
    <xf numFmtId="175" fontId="7" fillId="2" borderId="10" xfId="0" applyNumberFormat="1" applyFont="1" applyFill="1" applyBorder="1" applyAlignment="1">
      <alignment vertical="center"/>
    </xf>
    <xf numFmtId="0" fontId="4" fillId="5" borderId="20" xfId="0" applyNumberFormat="1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horizontal="right" vertical="center"/>
    </xf>
    <xf numFmtId="1" fontId="18" fillId="5" borderId="21" xfId="0" applyNumberFormat="1" applyFont="1" applyFill="1" applyBorder="1" applyAlignment="1">
      <alignment horizontal="center" vertical="center"/>
    </xf>
    <xf numFmtId="0" fontId="17" fillId="5" borderId="40" xfId="0" applyNumberFormat="1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/>
    </xf>
    <xf numFmtId="0" fontId="12" fillId="4" borderId="20" xfId="0" applyNumberFormat="1" applyFont="1" applyFill="1" applyBorder="1" applyAlignment="1">
      <alignment vertical="center"/>
    </xf>
    <xf numFmtId="0" fontId="12" fillId="4" borderId="21" xfId="0" applyNumberFormat="1" applyFont="1" applyFill="1" applyBorder="1" applyAlignment="1">
      <alignment vertical="center"/>
    </xf>
    <xf numFmtId="0" fontId="4" fillId="2" borderId="41" xfId="0" applyNumberFormat="1" applyFont="1" applyFill="1" applyBorder="1" applyAlignment="1">
      <alignment horizontal="center" vertical="center"/>
    </xf>
    <xf numFmtId="0" fontId="13" fillId="4" borderId="27" xfId="0" applyNumberFormat="1" applyFont="1" applyFill="1" applyBorder="1" applyAlignment="1">
      <alignment vertical="center"/>
    </xf>
    <xf numFmtId="0" fontId="4" fillId="4" borderId="8" xfId="0" applyNumberFormat="1" applyFont="1" applyFill="1" applyBorder="1" applyAlignment="1">
      <alignment vertical="center"/>
    </xf>
    <xf numFmtId="174" fontId="19" fillId="4" borderId="42" xfId="0" applyNumberFormat="1" applyFont="1" applyFill="1" applyBorder="1" applyAlignment="1">
      <alignment horizontal="center" vertical="center"/>
    </xf>
    <xf numFmtId="0" fontId="19" fillId="2" borderId="6" xfId="0" applyNumberFormat="1" applyFont="1" applyFill="1" applyBorder="1" applyAlignment="1">
      <alignment vertical="center"/>
    </xf>
    <xf numFmtId="0" fontId="20" fillId="6" borderId="43" xfId="0" applyNumberFormat="1" applyFont="1" applyFill="1" applyBorder="1" applyAlignment="1">
      <alignment vertical="center"/>
    </xf>
    <xf numFmtId="0" fontId="4" fillId="6" borderId="44" xfId="0" applyNumberFormat="1" applyFont="1" applyFill="1" applyBorder="1" applyAlignment="1">
      <alignment vertical="center"/>
    </xf>
    <xf numFmtId="0" fontId="4" fillId="2" borderId="4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vertical="center"/>
    </xf>
    <xf numFmtId="170" fontId="7" fillId="2" borderId="34" xfId="0" applyNumberFormat="1" applyFont="1" applyFill="1" applyBorder="1" applyAlignment="1">
      <alignment horizontal="center" vertical="center"/>
    </xf>
    <xf numFmtId="0" fontId="4" fillId="2" borderId="46" xfId="0" applyNumberFormat="1" applyFont="1" applyFill="1" applyBorder="1" applyAlignment="1">
      <alignment vertical="center"/>
    </xf>
    <xf numFmtId="0" fontId="19" fillId="2" borderId="47" xfId="0" applyNumberFormat="1" applyFont="1" applyFill="1" applyBorder="1" applyAlignment="1">
      <alignment vertical="center"/>
    </xf>
    <xf numFmtId="0" fontId="20" fillId="6" borderId="48" xfId="0" applyNumberFormat="1" applyFont="1" applyFill="1" applyBorder="1" applyAlignment="1">
      <alignment vertical="center"/>
    </xf>
    <xf numFmtId="3" fontId="19" fillId="2" borderId="49" xfId="0" applyNumberFormat="1" applyFont="1" applyFill="1" applyBorder="1" applyAlignment="1">
      <alignment horizontal="center" vertical="center"/>
    </xf>
    <xf numFmtId="0" fontId="4" fillId="6" borderId="48" xfId="0" applyNumberFormat="1" applyFont="1" applyFill="1" applyBorder="1" applyAlignment="1">
      <alignment vertical="center"/>
    </xf>
    <xf numFmtId="0" fontId="4" fillId="2" borderId="5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vertical="center"/>
    </xf>
    <xf numFmtId="0" fontId="4" fillId="2" borderId="47" xfId="0" applyNumberFormat="1" applyFont="1" applyFill="1" applyBorder="1" applyAlignment="1">
      <alignment vertical="center"/>
    </xf>
    <xf numFmtId="0" fontId="4" fillId="6" borderId="51" xfId="0" applyNumberFormat="1" applyFont="1" applyFill="1" applyBorder="1" applyAlignment="1">
      <alignment vertical="center"/>
    </xf>
    <xf numFmtId="0" fontId="4" fillId="6" borderId="52" xfId="0" applyNumberFormat="1" applyFont="1" applyFill="1" applyBorder="1" applyAlignment="1">
      <alignment vertical="center"/>
    </xf>
    <xf numFmtId="0" fontId="4" fillId="2" borderId="53" xfId="0" applyNumberFormat="1" applyFont="1" applyFill="1" applyBorder="1" applyAlignment="1">
      <alignment vertical="center"/>
    </xf>
    <xf numFmtId="0" fontId="4" fillId="2" borderId="54" xfId="0" applyNumberFormat="1" applyFont="1" applyFill="1" applyBorder="1" applyAlignment="1">
      <alignment vertical="center"/>
    </xf>
    <xf numFmtId="9" fontId="7" fillId="2" borderId="55" xfId="0" applyNumberFormat="1" applyFont="1" applyFill="1" applyBorder="1" applyAlignment="1">
      <alignment horizontal="center" vertical="center"/>
    </xf>
    <xf numFmtId="0" fontId="4" fillId="6" borderId="56" xfId="0" applyNumberFormat="1" applyFont="1" applyFill="1" applyBorder="1" applyAlignment="1">
      <alignment vertical="center"/>
    </xf>
    <xf numFmtId="0" fontId="4" fillId="6" borderId="57" xfId="0" applyNumberFormat="1" applyFont="1" applyFill="1" applyBorder="1" applyAlignment="1">
      <alignment vertical="center"/>
    </xf>
    <xf numFmtId="0" fontId="4" fillId="2" borderId="58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22" fillId="4" borderId="60" xfId="0" applyNumberFormat="1" applyFont="1" applyFill="1" applyBorder="1" applyAlignment="1">
      <alignment horizontal="center" vertical="center"/>
    </xf>
    <xf numFmtId="0" fontId="23" fillId="4" borderId="14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0" fontId="13" fillId="2" borderId="53" xfId="0" applyNumberFormat="1" applyFont="1" applyFill="1" applyBorder="1" applyAlignment="1">
      <alignment vertical="center"/>
    </xf>
    <xf numFmtId="172" fontId="12" fillId="4" borderId="39" xfId="0" applyNumberFormat="1" applyFont="1" applyFill="1" applyBorder="1" applyAlignment="1">
      <alignment horizontal="center" vertical="center"/>
    </xf>
    <xf numFmtId="171" fontId="12" fillId="4" borderId="6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172" fontId="12" fillId="4" borderId="24" xfId="0" applyNumberFormat="1" applyFont="1" applyFill="1" applyBorder="1" applyAlignment="1">
      <alignment horizontal="center" vertical="center"/>
    </xf>
    <xf numFmtId="174" fontId="12" fillId="2" borderId="62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176" fontId="26" fillId="2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vertical="center"/>
    </xf>
    <xf numFmtId="9" fontId="18" fillId="4" borderId="63" xfId="0" applyNumberFormat="1" applyFont="1" applyFill="1" applyBorder="1" applyAlignment="1">
      <alignment horizontal="center" vertical="center"/>
    </xf>
    <xf numFmtId="1" fontId="12" fillId="4" borderId="36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4" fontId="12" fillId="2" borderId="64" xfId="0" applyNumberFormat="1" applyFont="1" applyFill="1" applyBorder="1" applyAlignment="1">
      <alignment horizontal="center" vertical="center"/>
    </xf>
    <xf numFmtId="174" fontId="12" fillId="2" borderId="41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176" fontId="26" fillId="2" borderId="59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right" vertical="center"/>
    </xf>
    <xf numFmtId="174" fontId="19" fillId="2" borderId="5" xfId="0" applyNumberFormat="1" applyFont="1" applyFill="1" applyBorder="1" applyAlignment="1">
      <alignment horizontal="right" vertical="center"/>
    </xf>
    <xf numFmtId="169" fontId="19" fillId="2" borderId="5" xfId="0" applyNumberFormat="1" applyFont="1" applyFill="1" applyBorder="1" applyAlignment="1">
      <alignment horizontal="right" vertical="center"/>
    </xf>
    <xf numFmtId="175" fontId="19" fillId="2" borderId="5" xfId="0" applyNumberFormat="1" applyFont="1" applyFill="1" applyBorder="1" applyAlignment="1">
      <alignment horizontal="right" vertical="center"/>
    </xf>
    <xf numFmtId="3" fontId="19" fillId="2" borderId="5" xfId="0" applyNumberFormat="1" applyFont="1" applyFill="1" applyBorder="1" applyAlignment="1">
      <alignment horizontal="right" vertical="center"/>
    </xf>
    <xf numFmtId="3" fontId="19" fillId="2" borderId="65" xfId="0" applyNumberFormat="1" applyFont="1" applyFill="1" applyBorder="1" applyAlignment="1">
      <alignment horizontal="right" vertical="center"/>
    </xf>
    <xf numFmtId="9" fontId="28" fillId="2" borderId="5" xfId="0" applyNumberFormat="1" applyFont="1" applyFill="1" applyBorder="1" applyAlignment="1">
      <alignment horizontal="right" vertical="center"/>
    </xf>
    <xf numFmtId="0" fontId="16" fillId="2" borderId="1" xfId="0" applyNumberFormat="1" applyFont="1" applyFill="1" applyBorder="1" applyAlignment="1">
      <alignment vertical="center"/>
    </xf>
    <xf numFmtId="0" fontId="29" fillId="2" borderId="1" xfId="0" applyNumberFormat="1" applyFont="1" applyFill="1" applyBorder="1" applyAlignment="1">
      <alignment vertical="center"/>
    </xf>
    <xf numFmtId="0" fontId="29" fillId="2" borderId="3" xfId="0" applyNumberFormat="1" applyFont="1" applyFill="1" applyBorder="1" applyAlignment="1">
      <alignment vertical="center"/>
    </xf>
    <xf numFmtId="0" fontId="23" fillId="2" borderId="66" xfId="0" applyNumberFormat="1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vertical="center"/>
    </xf>
    <xf numFmtId="0" fontId="4" fillId="2" borderId="67" xfId="0" applyNumberFormat="1" applyFont="1" applyFill="1" applyBorder="1" applyAlignment="1">
      <alignment horizontal="center" vertical="center"/>
    </xf>
    <xf numFmtId="0" fontId="11" fillId="2" borderId="67" xfId="0" applyNumberFormat="1" applyFont="1" applyFill="1" applyBorder="1" applyAlignment="1">
      <alignment horizontal="right" vertical="center"/>
    </xf>
    <xf numFmtId="174" fontId="12" fillId="2" borderId="68" xfId="0" applyNumberFormat="1" applyFont="1" applyFill="1" applyBorder="1" applyAlignment="1">
      <alignment horizontal="center" vertical="center"/>
    </xf>
    <xf numFmtId="4" fontId="12" fillId="2" borderId="11" xfId="0" applyNumberFormat="1" applyFont="1" applyFill="1" applyBorder="1" applyAlignment="1">
      <alignment horizontal="center" vertical="center"/>
    </xf>
    <xf numFmtId="3" fontId="12" fillId="2" borderId="11" xfId="0" applyNumberFormat="1" applyFont="1" applyFill="1" applyBorder="1" applyAlignment="1">
      <alignment horizontal="center" vertical="center"/>
    </xf>
    <xf numFmtId="176" fontId="11" fillId="2" borderId="69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>
      <alignment vertical="center"/>
    </xf>
    <xf numFmtId="176" fontId="11" fillId="2" borderId="4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53" xfId="0" applyNumberFormat="1" applyFont="1" applyFill="1" applyBorder="1" applyAlignment="1">
      <alignment horizontal="left" vertical="center"/>
    </xf>
    <xf numFmtId="168" fontId="4" fillId="2" borderId="70" xfId="0" applyNumberFormat="1" applyFont="1" applyFill="1" applyBorder="1" applyAlignment="1">
      <alignment horizontal="center" vertical="center"/>
    </xf>
    <xf numFmtId="174" fontId="12" fillId="2" borderId="71" xfId="0" applyNumberFormat="1" applyFont="1" applyFill="1" applyBorder="1" applyAlignment="1">
      <alignment horizontal="center" vertical="center"/>
    </xf>
    <xf numFmtId="4" fontId="12" fillId="2" borderId="71" xfId="0" applyNumberFormat="1" applyFont="1" applyFill="1" applyBorder="1" applyAlignment="1">
      <alignment horizontal="center" vertical="center"/>
    </xf>
    <xf numFmtId="3" fontId="12" fillId="2" borderId="71" xfId="0" applyNumberFormat="1" applyFont="1" applyFill="1" applyBorder="1" applyAlignment="1">
      <alignment horizontal="center" vertical="center"/>
    </xf>
    <xf numFmtId="176" fontId="11" fillId="2" borderId="72" xfId="0" applyNumberFormat="1" applyFont="1" applyFill="1" applyBorder="1" applyAlignment="1">
      <alignment horizontal="center" vertical="center"/>
    </xf>
    <xf numFmtId="173" fontId="7" fillId="2" borderId="65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173" fontId="4" fillId="2" borderId="11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0" fontId="16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right" vertical="center"/>
    </xf>
    <xf numFmtId="176" fontId="16" fillId="2" borderId="7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71" xfId="0" applyNumberFormat="1" applyFont="1" applyFill="1" applyBorder="1" applyAlignment="1">
      <alignment horizontal="center" vertical="center"/>
    </xf>
    <xf numFmtId="0" fontId="4" fillId="2" borderId="65" xfId="0" applyNumberFormat="1" applyFont="1" applyFill="1" applyBorder="1" applyAlignment="1">
      <alignment horizontal="center" vertical="center"/>
    </xf>
    <xf numFmtId="173" fontId="4" fillId="2" borderId="1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0" fontId="16" fillId="2" borderId="11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horizontal="center" vertical="center"/>
    </xf>
    <xf numFmtId="0" fontId="26" fillId="2" borderId="12" xfId="0" applyNumberFormat="1" applyFont="1" applyFill="1" applyBorder="1" applyAlignment="1">
      <alignment horizontal="right" vertical="center"/>
    </xf>
    <xf numFmtId="173" fontId="7" fillId="2" borderId="73" xfId="0" applyNumberFormat="1" applyFont="1" applyFill="1" applyBorder="1" applyAlignment="1">
      <alignment horizontal="center" vertical="center"/>
    </xf>
    <xf numFmtId="2" fontId="4" fillId="2" borderId="74" xfId="0" applyNumberFormat="1" applyFont="1" applyFill="1" applyBorder="1" applyAlignment="1">
      <alignment horizontal="center" vertical="center"/>
    </xf>
    <xf numFmtId="173" fontId="4" fillId="2" borderId="67" xfId="0" applyNumberFormat="1" applyFont="1" applyFill="1" applyBorder="1" applyAlignment="1">
      <alignment horizontal="center" vertical="center"/>
    </xf>
    <xf numFmtId="0" fontId="26" fillId="2" borderId="67" xfId="0" applyNumberFormat="1" applyFont="1" applyFill="1" applyBorder="1" applyAlignment="1">
      <alignment horizontal="right" vertical="center"/>
    </xf>
    <xf numFmtId="173" fontId="4" fillId="2" borderId="65" xfId="0" applyNumberFormat="1" applyFont="1" applyFill="1" applyBorder="1" applyAlignment="1">
      <alignment horizontal="center" vertical="center"/>
    </xf>
    <xf numFmtId="173" fontId="4" fillId="2" borderId="12" xfId="0" applyNumberFormat="1" applyFont="1" applyFill="1" applyBorder="1" applyAlignment="1">
      <alignment horizontal="center" vertical="center"/>
    </xf>
    <xf numFmtId="174" fontId="12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176" fontId="11" fillId="2" borderId="75" xfId="0" applyNumberFormat="1" applyFont="1" applyFill="1" applyBorder="1" applyAlignment="1">
      <alignment horizontal="center" vertical="center"/>
    </xf>
    <xf numFmtId="0" fontId="4" fillId="2" borderId="65" xfId="0" applyNumberFormat="1" applyFont="1" applyFill="1" applyBorder="1" applyAlignment="1">
      <alignment vertical="center"/>
    </xf>
    <xf numFmtId="0" fontId="19" fillId="2" borderId="2" xfId="0" applyNumberFormat="1" applyFont="1" applyFill="1" applyBorder="1" applyAlignment="1">
      <alignment horizontal="right" vertical="center"/>
    </xf>
    <xf numFmtId="0" fontId="31" fillId="2" borderId="1" xfId="0" applyNumberFormat="1" applyFont="1" applyFill="1" applyBorder="1" applyAlignment="1">
      <alignment vertical="center"/>
    </xf>
    <xf numFmtId="0" fontId="23" fillId="2" borderId="76" xfId="0" applyNumberFormat="1" applyFont="1" applyFill="1" applyBorder="1" applyAlignment="1">
      <alignment horizontal="right" vertical="center"/>
    </xf>
    <xf numFmtId="177" fontId="30" fillId="2" borderId="1" xfId="0" applyNumberFormat="1" applyFont="1" applyFill="1" applyBorder="1" applyAlignment="1">
      <alignment vertical="center"/>
    </xf>
    <xf numFmtId="0" fontId="30" fillId="2" borderId="53" xfId="0" applyNumberFormat="1" applyFont="1" applyFill="1" applyBorder="1" applyAlignment="1">
      <alignment vertical="center"/>
    </xf>
    <xf numFmtId="174" fontId="12" fillId="2" borderId="77" xfId="0" applyNumberFormat="1" applyFont="1" applyFill="1" applyBorder="1" applyAlignment="1">
      <alignment horizontal="center" vertical="center"/>
    </xf>
    <xf numFmtId="169" fontId="12" fillId="2" borderId="78" xfId="0" applyNumberFormat="1" applyFont="1" applyFill="1" applyBorder="1" applyAlignment="1">
      <alignment horizontal="center" vertical="center"/>
    </xf>
    <xf numFmtId="2" fontId="14" fillId="2" borderId="78" xfId="0" applyNumberFormat="1" applyFont="1" applyFill="1" applyBorder="1" applyAlignment="1">
      <alignment vertical="center"/>
    </xf>
    <xf numFmtId="3" fontId="12" fillId="2" borderId="78" xfId="0" applyNumberFormat="1" applyFont="1" applyFill="1" applyBorder="1" applyAlignment="1">
      <alignment horizontal="center" vertical="center"/>
    </xf>
    <xf numFmtId="3" fontId="14" fillId="2" borderId="78" xfId="0" applyNumberFormat="1" applyFont="1" applyFill="1" applyBorder="1" applyAlignment="1">
      <alignment vertical="center"/>
    </xf>
    <xf numFmtId="176" fontId="26" fillId="2" borderId="79" xfId="0" applyNumberFormat="1" applyFont="1" applyFill="1" applyBorder="1" applyAlignment="1">
      <alignment horizontal="center" vertical="center"/>
    </xf>
    <xf numFmtId="2" fontId="4" fillId="2" borderId="78" xfId="0" applyNumberFormat="1" applyFont="1" applyFill="1" applyBorder="1" applyAlignment="1">
      <alignment horizontal="center" vertical="center"/>
    </xf>
    <xf numFmtId="170" fontId="12" fillId="2" borderId="78" xfId="0" applyNumberFormat="1" applyFont="1" applyFill="1" applyBorder="1" applyAlignment="1">
      <alignment horizontal="center" vertical="center"/>
    </xf>
    <xf numFmtId="2" fontId="12" fillId="2" borderId="78" xfId="0" applyNumberFormat="1" applyFont="1" applyFill="1" applyBorder="1" applyAlignment="1">
      <alignment horizontal="center" vertical="center"/>
    </xf>
    <xf numFmtId="0" fontId="28" fillId="2" borderId="78" xfId="0" applyNumberFormat="1" applyFont="1" applyFill="1" applyBorder="1" applyAlignment="1">
      <alignment vertical="center"/>
    </xf>
    <xf numFmtId="0" fontId="11" fillId="2" borderId="80" xfId="0" applyNumberFormat="1" applyFont="1" applyFill="1" applyBorder="1" applyAlignment="1">
      <alignment horizontal="left" vertical="center"/>
    </xf>
    <xf numFmtId="2" fontId="12" fillId="2" borderId="78" xfId="0" applyNumberFormat="1" applyFont="1" applyFill="1" applyBorder="1" applyAlignment="1">
      <alignment vertical="center"/>
    </xf>
    <xf numFmtId="3" fontId="12" fillId="2" borderId="78" xfId="0" applyNumberFormat="1" applyFont="1" applyFill="1" applyBorder="1" applyAlignment="1">
      <alignment vertical="center"/>
    </xf>
    <xf numFmtId="0" fontId="30" fillId="2" borderId="47" xfId="0" applyNumberFormat="1" applyFont="1" applyFill="1" applyBorder="1" applyAlignment="1">
      <alignment vertical="center"/>
    </xf>
    <xf numFmtId="0" fontId="31" fillId="2" borderId="81" xfId="0" applyNumberFormat="1" applyFont="1" applyFill="1" applyBorder="1" applyAlignment="1">
      <alignment horizontal="left" vertical="center"/>
    </xf>
    <xf numFmtId="170" fontId="12" fillId="2" borderId="77" xfId="0" applyNumberFormat="1" applyFont="1" applyFill="1" applyBorder="1" applyAlignment="1">
      <alignment horizontal="center" vertical="center"/>
    </xf>
    <xf numFmtId="0" fontId="28" fillId="2" borderId="78" xfId="0" applyNumberFormat="1" applyFont="1" applyFill="1" applyBorder="1" applyAlignment="1">
      <alignment horizontal="center" vertical="center"/>
    </xf>
    <xf numFmtId="178" fontId="12" fillId="2" borderId="78" xfId="0" applyNumberFormat="1" applyFont="1" applyFill="1" applyBorder="1" applyAlignment="1">
      <alignment vertical="center"/>
    </xf>
    <xf numFmtId="3" fontId="4" fillId="2" borderId="82" xfId="0" applyNumberFormat="1" applyFont="1" applyFill="1" applyBorder="1" applyAlignment="1">
      <alignment horizontal="center" vertical="center"/>
    </xf>
    <xf numFmtId="0" fontId="4" fillId="2" borderId="74" xfId="0" applyNumberFormat="1" applyFont="1" applyFill="1" applyBorder="1" applyAlignment="1">
      <alignment vertical="center"/>
    </xf>
    <xf numFmtId="0" fontId="4" fillId="2" borderId="73" xfId="0" applyNumberFormat="1" applyFont="1" applyFill="1" applyBorder="1" applyAlignment="1">
      <alignment vertical="center"/>
    </xf>
    <xf numFmtId="176" fontId="28" fillId="2" borderId="5" xfId="0" applyNumberFormat="1" applyFont="1" applyFill="1" applyBorder="1" applyAlignment="1">
      <alignment horizontal="right" vertical="center"/>
    </xf>
    <xf numFmtId="0" fontId="4" fillId="2" borderId="66" xfId="0" applyNumberFormat="1" applyFont="1" applyFill="1" applyBorder="1" applyAlignment="1">
      <alignment vertical="center"/>
    </xf>
    <xf numFmtId="0" fontId="19" fillId="2" borderId="31" xfId="0" applyNumberFormat="1" applyFont="1" applyFill="1" applyBorder="1" applyAlignment="1">
      <alignment horizontal="right" vertical="center"/>
    </xf>
    <xf numFmtId="173" fontId="19" fillId="2" borderId="31" xfId="0" applyNumberFormat="1" applyFont="1" applyFill="1" applyBorder="1" applyAlignment="1">
      <alignment horizontal="right" vertical="center"/>
    </xf>
    <xf numFmtId="2" fontId="19" fillId="2" borderId="31" xfId="0" applyNumberFormat="1" applyFont="1" applyFill="1" applyBorder="1" applyAlignment="1">
      <alignment horizontal="right" vertical="center"/>
    </xf>
    <xf numFmtId="3" fontId="19" fillId="2" borderId="31" xfId="0" applyNumberFormat="1" applyFont="1" applyFill="1" applyBorder="1" applyAlignment="1">
      <alignment horizontal="right" vertical="center"/>
    </xf>
    <xf numFmtId="176" fontId="28" fillId="2" borderId="83" xfId="0" applyNumberFormat="1" applyFont="1" applyFill="1" applyBorder="1" applyAlignment="1">
      <alignment horizontal="center" vertical="center"/>
    </xf>
    <xf numFmtId="3" fontId="19" fillId="2" borderId="31" xfId="0" applyNumberFormat="1" applyFont="1" applyFill="1" applyBorder="1" applyAlignment="1">
      <alignment vertical="center"/>
    </xf>
    <xf numFmtId="3" fontId="4" fillId="2" borderId="31" xfId="0" applyNumberFormat="1" applyFont="1" applyFill="1" applyBorder="1" applyAlignment="1">
      <alignment vertical="center"/>
    </xf>
    <xf numFmtId="0" fontId="16" fillId="2" borderId="31" xfId="0" applyNumberFormat="1" applyFont="1" applyFill="1" applyBorder="1" applyAlignment="1">
      <alignment vertical="center"/>
    </xf>
    <xf numFmtId="0" fontId="4" fillId="7" borderId="26" xfId="0" applyNumberFormat="1" applyFont="1" applyFill="1" applyBorder="1" applyAlignment="1">
      <alignment vertical="center"/>
    </xf>
    <xf numFmtId="0" fontId="4" fillId="7" borderId="27" xfId="0" applyNumberFormat="1" applyFont="1" applyFill="1" applyBorder="1" applyAlignment="1">
      <alignment vertical="center"/>
    </xf>
    <xf numFmtId="0" fontId="19" fillId="7" borderId="27" xfId="0" applyNumberFormat="1" applyFont="1" applyFill="1" applyBorder="1" applyAlignment="1">
      <alignment horizontal="right" vertical="center"/>
    </xf>
    <xf numFmtId="170" fontId="19" fillId="7" borderId="27" xfId="0" applyNumberFormat="1" applyFont="1" applyFill="1" applyBorder="1" applyAlignment="1">
      <alignment horizontal="center" vertical="center"/>
    </xf>
    <xf numFmtId="169" fontId="19" fillId="7" borderId="27" xfId="0" applyNumberFormat="1" applyFont="1" applyFill="1" applyBorder="1" applyAlignment="1">
      <alignment horizontal="center" vertical="center"/>
    </xf>
    <xf numFmtId="3" fontId="19" fillId="7" borderId="27" xfId="0" applyNumberFormat="1" applyFont="1" applyFill="1" applyBorder="1" applyAlignment="1">
      <alignment horizontal="center" vertical="center"/>
    </xf>
    <xf numFmtId="176" fontId="16" fillId="7" borderId="42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>
      <alignment horizontal="right" vertical="center"/>
    </xf>
    <xf numFmtId="176" fontId="4" fillId="2" borderId="65" xfId="0" applyNumberFormat="1" applyFont="1" applyFill="1" applyBorder="1" applyAlignment="1">
      <alignment vertical="center"/>
    </xf>
    <xf numFmtId="176" fontId="29" fillId="2" borderId="1" xfId="0" applyNumberFormat="1" applyFont="1" applyFill="1" applyBorder="1" applyAlignment="1">
      <alignment vertical="center"/>
    </xf>
    <xf numFmtId="0" fontId="26" fillId="2" borderId="1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vertical="center"/>
    </xf>
    <xf numFmtId="176" fontId="11" fillId="2" borderId="84" xfId="0" applyNumberFormat="1" applyFont="1" applyFill="1" applyBorder="1" applyAlignment="1">
      <alignment horizontal="center" vertical="center"/>
    </xf>
    <xf numFmtId="176" fontId="11" fillId="2" borderId="85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right" vertical="center"/>
    </xf>
    <xf numFmtId="3" fontId="4" fillId="2" borderId="65" xfId="0" applyNumberFormat="1" applyFont="1" applyFill="1" applyBorder="1" applyAlignment="1">
      <alignment vertical="center"/>
    </xf>
    <xf numFmtId="0" fontId="4" fillId="2" borderId="12" xfId="0" applyNumberFormat="1" applyFont="1" applyFill="1" applyBorder="1" applyAlignment="1">
      <alignment vertical="center"/>
    </xf>
    <xf numFmtId="0" fontId="17" fillId="2" borderId="86" xfId="0" applyNumberFormat="1" applyFont="1" applyFill="1" applyBorder="1" applyAlignment="1">
      <alignment vertical="center"/>
    </xf>
    <xf numFmtId="0" fontId="4" fillId="2" borderId="87" xfId="0" applyNumberFormat="1" applyFont="1" applyFill="1" applyBorder="1" applyAlignment="1">
      <alignment vertical="center"/>
    </xf>
    <xf numFmtId="0" fontId="12" fillId="2" borderId="88" xfId="0" applyNumberFormat="1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right" vertical="center"/>
    </xf>
    <xf numFmtId="173" fontId="19" fillId="2" borderId="31" xfId="0" applyNumberFormat="1" applyFont="1" applyFill="1" applyBorder="1" applyAlignment="1">
      <alignment vertical="center"/>
    </xf>
    <xf numFmtId="175" fontId="19" fillId="2" borderId="31" xfId="0" applyNumberFormat="1" applyFont="1" applyFill="1" applyBorder="1" applyAlignment="1">
      <alignment vertical="center"/>
    </xf>
    <xf numFmtId="2" fontId="19" fillId="2" borderId="31" xfId="0" applyNumberFormat="1" applyFont="1" applyFill="1" applyBorder="1" applyAlignment="1">
      <alignment vertical="center"/>
    </xf>
    <xf numFmtId="3" fontId="19" fillId="2" borderId="31" xfId="0" applyNumberFormat="1" applyFont="1" applyFill="1" applyBorder="1" applyAlignment="1">
      <alignment horizontal="center" vertical="center"/>
    </xf>
    <xf numFmtId="176" fontId="16" fillId="2" borderId="31" xfId="0" applyNumberFormat="1" applyFont="1" applyFill="1" applyBorder="1" applyAlignment="1">
      <alignment horizontal="center" vertical="center"/>
    </xf>
    <xf numFmtId="173" fontId="19" fillId="7" borderId="27" xfId="0" applyNumberFormat="1" applyFont="1" applyFill="1" applyBorder="1" applyAlignment="1">
      <alignment vertical="center"/>
    </xf>
    <xf numFmtId="2" fontId="19" fillId="7" borderId="27" xfId="0" applyNumberFormat="1" applyFont="1" applyFill="1" applyBorder="1" applyAlignment="1">
      <alignment vertical="center"/>
    </xf>
    <xf numFmtId="3" fontId="19" fillId="7" borderId="27" xfId="0" applyNumberFormat="1" applyFont="1" applyFill="1" applyBorder="1" applyAlignment="1">
      <alignment vertical="center"/>
    </xf>
    <xf numFmtId="3" fontId="18" fillId="7" borderId="27" xfId="0" applyNumberFormat="1" applyFont="1" applyFill="1" applyBorder="1" applyAlignment="1">
      <alignment vertical="center"/>
    </xf>
    <xf numFmtId="176" fontId="28" fillId="7" borderId="42" xfId="0" applyNumberFormat="1" applyFont="1" applyFill="1" applyBorder="1" applyAlignment="1">
      <alignment horizontal="center" vertical="center"/>
    </xf>
    <xf numFmtId="0" fontId="34" fillId="7" borderId="27" xfId="0" applyNumberFormat="1" applyFont="1" applyFill="1" applyBorder="1" applyAlignment="1">
      <alignment horizontal="right" vertical="center"/>
    </xf>
    <xf numFmtId="170" fontId="19" fillId="7" borderId="27" xfId="0" applyNumberFormat="1" applyFont="1" applyFill="1" applyBorder="1" applyAlignment="1">
      <alignment horizontal="right" vertical="center"/>
    </xf>
    <xf numFmtId="169" fontId="19" fillId="7" borderId="27" xfId="0" applyNumberFormat="1" applyFont="1" applyFill="1" applyBorder="1" applyAlignment="1">
      <alignment horizontal="right" vertical="center"/>
    </xf>
    <xf numFmtId="172" fontId="19" fillId="7" borderId="27" xfId="0" applyNumberFormat="1" applyFont="1" applyFill="1" applyBorder="1" applyAlignment="1">
      <alignment horizontal="right" vertical="center"/>
    </xf>
    <xf numFmtId="3" fontId="19" fillId="7" borderId="27" xfId="0" applyNumberFormat="1" applyFont="1" applyFill="1" applyBorder="1" applyAlignment="1">
      <alignment horizontal="right" vertical="center"/>
    </xf>
    <xf numFmtId="0" fontId="4" fillId="2" borderId="67" xfId="0" applyNumberFormat="1" applyFont="1" applyFill="1" applyBorder="1" applyAlignment="1">
      <alignment vertical="center"/>
    </xf>
    <xf numFmtId="0" fontId="5" fillId="8" borderId="13" xfId="0" applyNumberFormat="1" applyFont="1" applyFill="1" applyBorder="1" applyAlignment="1">
      <alignment vertical="center"/>
    </xf>
    <xf numFmtId="0" fontId="30" fillId="8" borderId="14" xfId="0" applyNumberFormat="1" applyFont="1" applyFill="1" applyBorder="1" applyAlignment="1">
      <alignment vertical="center"/>
    </xf>
    <xf numFmtId="0" fontId="4" fillId="8" borderId="14" xfId="0" applyNumberFormat="1" applyFont="1" applyFill="1" applyBorder="1" applyAlignment="1">
      <alignment vertical="center"/>
    </xf>
    <xf numFmtId="0" fontId="36" fillId="8" borderId="16" xfId="0" applyNumberFormat="1" applyFont="1" applyFill="1" applyBorder="1" applyAlignment="1">
      <alignment horizontal="center" vertical="center"/>
    </xf>
    <xf numFmtId="0" fontId="4" fillId="2" borderId="62" xfId="0" applyNumberFormat="1" applyFont="1" applyFill="1" applyBorder="1" applyAlignment="1">
      <alignment vertical="center"/>
    </xf>
    <xf numFmtId="0" fontId="4" fillId="8" borderId="38" xfId="0" applyNumberFormat="1" applyFont="1" applyFill="1" applyBorder="1" applyAlignment="1">
      <alignment vertical="center"/>
    </xf>
    <xf numFmtId="0" fontId="4" fillId="8" borderId="0" xfId="0" applyNumberFormat="1" applyFont="1" applyFill="1" applyBorder="1" applyAlignment="1">
      <alignment vertical="center"/>
    </xf>
    <xf numFmtId="0" fontId="4" fillId="8" borderId="0" xfId="0" applyNumberFormat="1" applyFont="1" applyFill="1" applyBorder="1" applyAlignment="1">
      <alignment horizontal="right" vertical="center"/>
    </xf>
    <xf numFmtId="168" fontId="4" fillId="8" borderId="0" xfId="0" applyNumberFormat="1" applyFont="1" applyFill="1" applyBorder="1" applyAlignment="1">
      <alignment horizontal="center" vertical="center"/>
    </xf>
    <xf numFmtId="2" fontId="19" fillId="8" borderId="89" xfId="0" applyNumberFormat="1" applyFont="1" applyFill="1" applyBorder="1" applyAlignment="1">
      <alignment horizontal="center" vertical="center"/>
    </xf>
    <xf numFmtId="0" fontId="4" fillId="8" borderId="20" xfId="0" applyNumberFormat="1" applyFont="1" applyFill="1" applyBorder="1" applyAlignment="1">
      <alignment vertical="center"/>
    </xf>
    <xf numFmtId="0" fontId="4" fillId="8" borderId="21" xfId="0" applyNumberFormat="1" applyFont="1" applyFill="1" applyBorder="1" applyAlignment="1">
      <alignment vertical="center"/>
    </xf>
    <xf numFmtId="0" fontId="4" fillId="8" borderId="21" xfId="0" applyNumberFormat="1" applyFont="1" applyFill="1" applyBorder="1" applyAlignment="1">
      <alignment horizontal="right" vertical="center"/>
    </xf>
    <xf numFmtId="2" fontId="4" fillId="8" borderId="21" xfId="0" applyNumberFormat="1" applyFont="1" applyFill="1" applyBorder="1" applyAlignment="1">
      <alignment horizontal="center" vertical="center"/>
    </xf>
    <xf numFmtId="171" fontId="19" fillId="8" borderId="4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2" fontId="36" fillId="2" borderId="16" xfId="0" applyNumberFormat="1" applyFont="1" applyFill="1" applyBorder="1" applyAlignment="1">
      <alignment horizontal="center" vertical="center"/>
    </xf>
    <xf numFmtId="0" fontId="36" fillId="2" borderId="16" xfId="0" applyNumberFormat="1" applyFont="1" applyFill="1" applyBorder="1" applyAlignment="1">
      <alignment horizontal="center" vertical="center"/>
    </xf>
    <xf numFmtId="0" fontId="26" fillId="2" borderId="47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9" fillId="8" borderId="15" xfId="0" applyNumberFormat="1" applyFont="1" applyFill="1" applyBorder="1" applyAlignment="1">
      <alignment horizontal="right" vertical="center"/>
    </xf>
    <xf numFmtId="169" fontId="4" fillId="2" borderId="31" xfId="0" applyNumberFormat="1" applyFont="1" applyFill="1" applyBorder="1" applyAlignment="1">
      <alignment vertical="center"/>
    </xf>
    <xf numFmtId="169" fontId="4" fillId="4" borderId="27" xfId="0" applyNumberFormat="1" applyFont="1" applyFill="1" applyBorder="1" applyAlignment="1">
      <alignment vertical="center"/>
    </xf>
    <xf numFmtId="169" fontId="19" fillId="4" borderId="27" xfId="0" applyNumberFormat="1" applyFont="1" applyFill="1" applyBorder="1" applyAlignment="1">
      <alignment horizontal="center" vertical="center"/>
    </xf>
    <xf numFmtId="169" fontId="12" fillId="4" borderId="42" xfId="0" applyNumberFormat="1" applyFont="1" applyFill="1" applyBorder="1" applyAlignment="1">
      <alignment vertical="center"/>
    </xf>
    <xf numFmtId="169" fontId="4" fillId="2" borderId="5" xfId="0" applyNumberFormat="1" applyFont="1" applyFill="1" applyBorder="1" applyAlignment="1">
      <alignment vertical="center"/>
    </xf>
    <xf numFmtId="169" fontId="4" fillId="2" borderId="90" xfId="0" applyNumberFormat="1" applyFont="1" applyFill="1" applyBorder="1" applyAlignment="1">
      <alignment vertical="center"/>
    </xf>
    <xf numFmtId="169" fontId="19" fillId="2" borderId="1" xfId="0" applyNumberFormat="1" applyFont="1" applyFill="1" applyBorder="1" applyAlignment="1">
      <alignment vertical="center"/>
    </xf>
    <xf numFmtId="169" fontId="19" fillId="2" borderId="53" xfId="0" applyNumberFormat="1" applyFont="1" applyFill="1" applyBorder="1" applyAlignment="1">
      <alignment vertical="center"/>
    </xf>
    <xf numFmtId="169" fontId="4" fillId="2" borderId="1" xfId="0" applyNumberFormat="1" applyFont="1" applyFill="1" applyBorder="1" applyAlignment="1">
      <alignment vertical="center"/>
    </xf>
    <xf numFmtId="169" fontId="4" fillId="2" borderId="53" xfId="0" applyNumberFormat="1" applyFont="1" applyFill="1" applyBorder="1" applyAlignment="1">
      <alignment vertical="center"/>
    </xf>
    <xf numFmtId="169" fontId="4" fillId="2" borderId="2" xfId="0" applyNumberFormat="1" applyFont="1" applyFill="1" applyBorder="1" applyAlignment="1">
      <alignment vertical="center"/>
    </xf>
    <xf numFmtId="169" fontId="4" fillId="2" borderId="54" xfId="0" applyNumberFormat="1" applyFont="1" applyFill="1" applyBorder="1" applyAlignment="1">
      <alignment vertical="center"/>
    </xf>
    <xf numFmtId="169" fontId="17" fillId="2" borderId="5" xfId="0" applyNumberFormat="1" applyFont="1" applyFill="1" applyBorder="1" applyAlignment="1">
      <alignment vertical="center"/>
    </xf>
    <xf numFmtId="169" fontId="17" fillId="2" borderId="1" xfId="0" applyNumberFormat="1" applyFont="1" applyFill="1" applyBorder="1" applyAlignment="1">
      <alignment vertical="center"/>
    </xf>
    <xf numFmtId="0" fontId="17" fillId="5" borderId="91" xfId="0" applyNumberFormat="1" applyFont="1" applyFill="1" applyBorder="1" applyAlignment="1">
      <alignment horizontal="left" vertical="center"/>
    </xf>
    <xf numFmtId="0" fontId="17" fillId="5" borderId="14" xfId="0" applyNumberFormat="1" applyFont="1" applyFill="1" applyBorder="1" applyAlignment="1">
      <alignment horizontal="right" vertical="center"/>
    </xf>
    <xf numFmtId="0" fontId="42" fillId="4" borderId="19" xfId="0" applyNumberFormat="1" applyFont="1" applyFill="1" applyBorder="1" applyAlignment="1">
      <alignment vertical="center"/>
    </xf>
    <xf numFmtId="0" fontId="42" fillId="4" borderId="92" xfId="0" applyNumberFormat="1" applyFont="1" applyFill="1" applyBorder="1" applyAlignment="1">
      <alignment vertical="center"/>
    </xf>
    <xf numFmtId="0" fontId="42" fillId="4" borderId="40" xfId="0" applyNumberFormat="1" applyFont="1" applyFill="1" applyBorder="1" applyAlignment="1">
      <alignment vertical="center"/>
    </xf>
    <xf numFmtId="0" fontId="6" fillId="4" borderId="93" xfId="0" applyNumberFormat="1" applyFont="1" applyFill="1" applyBorder="1" applyAlignment="1">
      <alignment vertical="center"/>
    </xf>
    <xf numFmtId="0" fontId="6" fillId="4" borderId="94" xfId="0" applyNumberFormat="1" applyFont="1" applyFill="1" applyBorder="1" applyAlignment="1">
      <alignment vertical="center"/>
    </xf>
    <xf numFmtId="0" fontId="6" fillId="4" borderId="42" xfId="0" applyNumberFormat="1" applyFont="1" applyFill="1" applyBorder="1" applyAlignment="1">
      <alignment vertical="center"/>
    </xf>
    <xf numFmtId="0" fontId="17" fillId="4" borderId="26" xfId="0" applyNumberFormat="1" applyFont="1" applyFill="1" applyBorder="1" applyAlignment="1">
      <alignment vertical="center"/>
    </xf>
    <xf numFmtId="0" fontId="4" fillId="2" borderId="95" xfId="0" applyNumberFormat="1" applyFont="1" applyFill="1" applyBorder="1" applyAlignment="1">
      <alignment vertical="center"/>
    </xf>
    <xf numFmtId="0" fontId="4" fillId="2" borderId="96" xfId="0" applyNumberFormat="1" applyFont="1" applyFill="1" applyBorder="1" applyAlignment="1">
      <alignment vertical="center"/>
    </xf>
    <xf numFmtId="0" fontId="4" fillId="2" borderId="97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4" fillId="2" borderId="98" xfId="0" applyNumberFormat="1" applyFont="1" applyFill="1" applyBorder="1" applyAlignment="1">
      <alignment vertical="center"/>
    </xf>
    <xf numFmtId="0" fontId="13" fillId="8" borderId="21" xfId="0" applyNumberFormat="1" applyFont="1" applyFill="1" applyBorder="1" applyAlignment="1">
      <alignment vertical="center"/>
    </xf>
    <xf numFmtId="0" fontId="13" fillId="8" borderId="0" xfId="0" applyNumberFormat="1" applyFont="1" applyFill="1" applyBorder="1" applyAlignment="1">
      <alignment vertical="center"/>
    </xf>
    <xf numFmtId="2" fontId="4" fillId="2" borderId="99" xfId="0" applyNumberFormat="1" applyFont="1" applyFill="1" applyBorder="1" applyAlignment="1">
      <alignment horizontal="center" vertical="center"/>
    </xf>
    <xf numFmtId="3" fontId="4" fillId="2" borderId="100" xfId="0" applyNumberFormat="1" applyFont="1" applyFill="1" applyBorder="1" applyAlignment="1">
      <alignment horizontal="center" vertical="center"/>
    </xf>
    <xf numFmtId="3" fontId="12" fillId="2" borderId="98" xfId="0" applyNumberFormat="1" applyFont="1" applyFill="1" applyBorder="1" applyAlignment="1">
      <alignment horizontal="center" vertical="center"/>
    </xf>
    <xf numFmtId="3" fontId="4" fillId="2" borderId="101" xfId="0" applyNumberFormat="1" applyFont="1" applyFill="1" applyBorder="1" applyAlignment="1">
      <alignment horizontal="center" vertical="center"/>
    </xf>
    <xf numFmtId="173" fontId="4" fillId="2" borderId="99" xfId="0" applyNumberFormat="1" applyFont="1" applyFill="1" applyBorder="1" applyAlignment="1">
      <alignment vertical="center"/>
    </xf>
    <xf numFmtId="2" fontId="12" fillId="2" borderId="98" xfId="0" applyNumberFormat="1" applyFont="1" applyFill="1" applyBorder="1" applyAlignment="1">
      <alignment horizontal="center" vertical="center"/>
    </xf>
    <xf numFmtId="2" fontId="4" fillId="2" borderId="102" xfId="0" applyNumberFormat="1" applyFont="1" applyFill="1" applyBorder="1" applyAlignment="1">
      <alignment horizontal="center" vertical="center"/>
    </xf>
    <xf numFmtId="3" fontId="4" fillId="2" borderId="102" xfId="0" applyNumberFormat="1" applyFont="1" applyFill="1" applyBorder="1" applyAlignment="1">
      <alignment horizontal="center" vertical="center"/>
    </xf>
    <xf numFmtId="3" fontId="4" fillId="2" borderId="103" xfId="0" applyNumberFormat="1" applyFont="1" applyFill="1" applyBorder="1" applyAlignment="1">
      <alignment horizontal="center" vertical="center"/>
    </xf>
    <xf numFmtId="0" fontId="16" fillId="2" borderId="100" xfId="0" applyNumberFormat="1" applyFont="1" applyFill="1" applyBorder="1" applyAlignment="1">
      <alignment vertical="center"/>
    </xf>
    <xf numFmtId="3" fontId="4" fillId="2" borderId="102" xfId="0" applyNumberFormat="1" applyFont="1" applyFill="1" applyBorder="1" applyAlignment="1">
      <alignment vertical="center"/>
    </xf>
    <xf numFmtId="0" fontId="11" fillId="2" borderId="104" xfId="0" applyNumberFormat="1" applyFont="1" applyFill="1" applyBorder="1" applyAlignment="1">
      <alignment horizontal="left" vertical="center"/>
    </xf>
    <xf numFmtId="0" fontId="4" fillId="2" borderId="105" xfId="0" applyNumberFormat="1" applyFont="1" applyFill="1" applyBorder="1" applyAlignment="1">
      <alignment vertical="center"/>
    </xf>
    <xf numFmtId="0" fontId="4" fillId="2" borderId="106" xfId="0" applyNumberFormat="1" applyFont="1" applyFill="1" applyBorder="1" applyAlignment="1">
      <alignment vertical="center"/>
    </xf>
    <xf numFmtId="0" fontId="4" fillId="2" borderId="107" xfId="0" applyNumberFormat="1" applyFont="1" applyFill="1" applyBorder="1" applyAlignment="1">
      <alignment vertical="center"/>
    </xf>
    <xf numFmtId="3" fontId="4" fillId="2" borderId="107" xfId="0" applyNumberFormat="1" applyFont="1" applyFill="1" applyBorder="1" applyAlignment="1">
      <alignment vertical="center"/>
    </xf>
    <xf numFmtId="0" fontId="16" fillId="2" borderId="107" xfId="0" applyNumberFormat="1" applyFont="1" applyFill="1" applyBorder="1" applyAlignment="1">
      <alignment vertical="center"/>
    </xf>
    <xf numFmtId="2" fontId="31" fillId="2" borderId="108" xfId="0" applyNumberFormat="1" applyFont="1" applyFill="1" applyBorder="1" applyAlignment="1">
      <alignment horizontal="center" vertical="center"/>
    </xf>
    <xf numFmtId="3" fontId="32" fillId="2" borderId="109" xfId="0" applyNumberFormat="1" applyFont="1" applyFill="1" applyBorder="1" applyAlignment="1">
      <alignment horizontal="center" vertical="center"/>
    </xf>
    <xf numFmtId="176" fontId="16" fillId="2" borderId="110" xfId="0" applyNumberFormat="1" applyFont="1" applyFill="1" applyBorder="1" applyAlignment="1">
      <alignment horizontal="center" vertical="center"/>
    </xf>
    <xf numFmtId="0" fontId="40" fillId="2" borderId="111" xfId="0" applyNumberFormat="1" applyFont="1" applyFill="1" applyBorder="1" applyAlignment="1">
      <alignment horizontal="center" vertical="center"/>
    </xf>
    <xf numFmtId="0" fontId="23" fillId="2" borderId="112" xfId="0" applyNumberFormat="1" applyFont="1" applyFill="1" applyBorder="1" applyAlignment="1">
      <alignment horizontal="center" vertical="center"/>
    </xf>
    <xf numFmtId="3" fontId="23" fillId="2" borderId="112" xfId="0" applyNumberFormat="1" applyFont="1" applyFill="1" applyBorder="1" applyAlignment="1">
      <alignment horizontal="center" vertical="center"/>
    </xf>
    <xf numFmtId="0" fontId="40" fillId="2" borderId="113" xfId="0" applyNumberFormat="1" applyFont="1" applyFill="1" applyBorder="1" applyAlignment="1">
      <alignment horizontal="center" vertical="center"/>
    </xf>
    <xf numFmtId="0" fontId="23" fillId="2" borderId="114" xfId="0" applyNumberFormat="1" applyFont="1" applyFill="1" applyBorder="1" applyAlignment="1">
      <alignment horizontal="left" vertical="center"/>
    </xf>
    <xf numFmtId="173" fontId="19" fillId="2" borderId="98" xfId="0" applyNumberFormat="1" applyFont="1" applyFill="1" applyBorder="1" applyAlignment="1">
      <alignment horizontal="right" vertical="center"/>
    </xf>
    <xf numFmtId="2" fontId="19" fillId="2" borderId="98" xfId="0" applyNumberFormat="1" applyFont="1" applyFill="1" applyBorder="1" applyAlignment="1">
      <alignment horizontal="right" vertical="center"/>
    </xf>
    <xf numFmtId="3" fontId="19" fillId="2" borderId="98" xfId="0" applyNumberFormat="1" applyFont="1" applyFill="1" applyBorder="1" applyAlignment="1">
      <alignment horizontal="right" vertical="center"/>
    </xf>
    <xf numFmtId="0" fontId="28" fillId="2" borderId="98" xfId="0" applyNumberFormat="1" applyFont="1" applyFill="1" applyBorder="1" applyAlignment="1">
      <alignment horizontal="center" vertical="center"/>
    </xf>
    <xf numFmtId="174" fontId="12" fillId="2" borderId="115" xfId="0" applyNumberFormat="1" applyFont="1" applyFill="1" applyBorder="1" applyAlignment="1">
      <alignment horizontal="center" vertical="center"/>
    </xf>
    <xf numFmtId="169" fontId="12" fillId="2" borderId="110" xfId="0" applyNumberFormat="1" applyFont="1" applyFill="1" applyBorder="1" applyAlignment="1">
      <alignment horizontal="center" vertical="center"/>
    </xf>
    <xf numFmtId="2" fontId="14" fillId="2" borderId="110" xfId="0" applyNumberFormat="1" applyFont="1" applyFill="1" applyBorder="1" applyAlignment="1">
      <alignment vertical="center"/>
    </xf>
    <xf numFmtId="3" fontId="12" fillId="2" borderId="110" xfId="0" applyNumberFormat="1" applyFont="1" applyFill="1" applyBorder="1" applyAlignment="1">
      <alignment horizontal="center" vertical="center"/>
    </xf>
    <xf numFmtId="3" fontId="14" fillId="2" borderId="110" xfId="0" applyNumberFormat="1" applyFont="1" applyFill="1" applyBorder="1" applyAlignment="1">
      <alignment vertical="center"/>
    </xf>
    <xf numFmtId="176" fontId="26" fillId="2" borderId="116" xfId="0" applyNumberFormat="1" applyFont="1" applyFill="1" applyBorder="1" applyAlignment="1">
      <alignment horizontal="center" vertical="center"/>
    </xf>
    <xf numFmtId="0" fontId="23" fillId="2" borderId="114" xfId="0" applyNumberFormat="1" applyFont="1" applyFill="1" applyBorder="1" applyAlignment="1">
      <alignment horizontal="center" vertical="center"/>
    </xf>
    <xf numFmtId="173" fontId="4" fillId="2" borderId="117" xfId="0" applyNumberFormat="1" applyFont="1" applyFill="1" applyBorder="1" applyAlignment="1">
      <alignment horizontal="center" vertical="center"/>
    </xf>
    <xf numFmtId="2" fontId="4" fillId="2" borderId="117" xfId="0" applyNumberFormat="1" applyFont="1" applyFill="1" applyBorder="1" applyAlignment="1">
      <alignment horizontal="center" vertical="center"/>
    </xf>
    <xf numFmtId="3" fontId="4" fillId="2" borderId="117" xfId="0" applyNumberFormat="1" applyFont="1" applyFill="1" applyBorder="1" applyAlignment="1">
      <alignment horizontal="center" vertical="center"/>
    </xf>
    <xf numFmtId="0" fontId="16" fillId="2" borderId="117" xfId="0" applyNumberFormat="1" applyFont="1" applyFill="1" applyBorder="1" applyAlignment="1">
      <alignment vertical="center"/>
    </xf>
    <xf numFmtId="3" fontId="4" fillId="2" borderId="98" xfId="0" applyNumberFormat="1" applyFont="1" applyFill="1" applyBorder="1" applyAlignment="1">
      <alignment horizontal="center" vertical="center"/>
    </xf>
    <xf numFmtId="3" fontId="4" fillId="2" borderId="98" xfId="0" applyNumberFormat="1" applyFont="1" applyFill="1" applyBorder="1" applyAlignment="1">
      <alignment vertical="center"/>
    </xf>
    <xf numFmtId="0" fontId="16" fillId="2" borderId="98" xfId="0" applyNumberFormat="1" applyFont="1" applyFill="1" applyBorder="1" applyAlignment="1">
      <alignment vertical="center"/>
    </xf>
    <xf numFmtId="0" fontId="23" fillId="4" borderId="14" xfId="0" applyNumberFormat="1" applyFont="1" applyFill="1" applyBorder="1" applyAlignment="1">
      <alignment horizontal="center" vertical="center"/>
    </xf>
    <xf numFmtId="174" fontId="12" fillId="2" borderId="118" xfId="0" applyNumberFormat="1" applyFont="1" applyFill="1" applyBorder="1" applyAlignment="1">
      <alignment horizontal="center" vertical="center"/>
    </xf>
    <xf numFmtId="4" fontId="12" fillId="2" borderId="119" xfId="0" applyNumberFormat="1" applyFont="1" applyFill="1" applyBorder="1" applyAlignment="1">
      <alignment horizontal="center" vertical="center"/>
    </xf>
    <xf numFmtId="3" fontId="12" fillId="2" borderId="119" xfId="0" applyNumberFormat="1" applyFont="1" applyFill="1" applyBorder="1" applyAlignment="1">
      <alignment horizontal="center" vertical="center"/>
    </xf>
    <xf numFmtId="176" fontId="26" fillId="2" borderId="97" xfId="0" applyNumberFormat="1" applyFont="1" applyFill="1" applyBorder="1" applyAlignment="1">
      <alignment horizontal="center" vertical="center"/>
    </xf>
    <xf numFmtId="0" fontId="41" fillId="2" borderId="113" xfId="0" applyNumberFormat="1" applyFont="1" applyFill="1" applyBorder="1" applyAlignment="1">
      <alignment horizontal="center" vertical="center"/>
    </xf>
    <xf numFmtId="0" fontId="13" fillId="2" borderId="106" xfId="0" applyNumberFormat="1" applyFont="1" applyFill="1" applyBorder="1" applyAlignment="1">
      <alignment vertical="center"/>
    </xf>
    <xf numFmtId="0" fontId="4" fillId="2" borderId="98" xfId="0" applyNumberFormat="1" applyFont="1" applyFill="1" applyBorder="1" applyAlignment="1">
      <alignment horizontal="center" vertical="center"/>
    </xf>
    <xf numFmtId="0" fontId="4" fillId="2" borderId="119" xfId="0" applyNumberFormat="1" applyFont="1" applyFill="1" applyBorder="1" applyAlignment="1">
      <alignment vertical="center"/>
    </xf>
    <xf numFmtId="0" fontId="4" fillId="4" borderId="120" xfId="0" applyNumberFormat="1" applyFont="1" applyFill="1" applyBorder="1" applyAlignment="1">
      <alignment vertical="center"/>
    </xf>
    <xf numFmtId="0" fontId="4" fillId="4" borderId="121" xfId="0" applyNumberFormat="1" applyFont="1" applyFill="1" applyBorder="1" applyAlignment="1">
      <alignment vertical="center"/>
    </xf>
    <xf numFmtId="0" fontId="11" fillId="4" borderId="102" xfId="0" applyNumberFormat="1" applyFont="1" applyFill="1" applyBorder="1" applyAlignment="1">
      <alignment horizontal="right" vertical="center"/>
    </xf>
    <xf numFmtId="168" fontId="26" fillId="4" borderId="122" xfId="0" applyNumberFormat="1" applyFont="1" applyFill="1" applyBorder="1" applyAlignment="1">
      <alignment horizontal="center" vertical="center"/>
    </xf>
    <xf numFmtId="0" fontId="4" fillId="9" borderId="123" xfId="0" applyNumberFormat="1" applyFont="1" applyFill="1" applyBorder="1" applyAlignment="1">
      <alignment vertical="center"/>
    </xf>
    <xf numFmtId="169" fontId="42" fillId="2" borderId="1" xfId="0" applyNumberFormat="1" applyFont="1" applyFill="1" applyBorder="1" applyAlignment="1">
      <alignment vertical="center"/>
    </xf>
    <xf numFmtId="169" fontId="42" fillId="2" borderId="2" xfId="0" applyNumberFormat="1" applyFont="1" applyFill="1" applyBorder="1" applyAlignment="1">
      <alignment vertical="center"/>
    </xf>
    <xf numFmtId="169" fontId="4" fillId="2" borderId="124" xfId="0" applyNumberFormat="1" applyFont="1" applyFill="1" applyBorder="1" applyAlignment="1">
      <alignment horizontal="center" vertical="center"/>
    </xf>
    <xf numFmtId="169" fontId="32" fillId="2" borderId="49" xfId="0" applyNumberFormat="1" applyFont="1" applyFill="1" applyBorder="1" applyAlignment="1">
      <alignment horizontal="center" vertical="center"/>
    </xf>
    <xf numFmtId="170" fontId="7" fillId="2" borderId="16" xfId="0" applyNumberFormat="1" applyFont="1" applyFill="1" applyBorder="1" applyAlignment="1">
      <alignment horizontal="center" vertical="center"/>
    </xf>
    <xf numFmtId="172" fontId="12" fillId="2" borderId="78" xfId="0" applyNumberFormat="1" applyFont="1" applyFill="1" applyBorder="1" applyAlignment="1">
      <alignment horizontal="center" vertical="center"/>
    </xf>
    <xf numFmtId="0" fontId="31" fillId="2" borderId="98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169" fontId="37" fillId="2" borderId="0" xfId="0" applyNumberFormat="1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4" fillId="3" borderId="125" xfId="0" applyNumberFormat="1" applyFont="1" applyFill="1" applyBorder="1" applyAlignment="1">
      <alignment vertical="center"/>
    </xf>
    <xf numFmtId="168" fontId="13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126" xfId="0" applyNumberFormat="1" applyFont="1" applyFill="1" applyBorder="1" applyAlignment="1">
      <alignment vertical="center"/>
    </xf>
    <xf numFmtId="0" fontId="4" fillId="2" borderId="127" xfId="0" applyNumberFormat="1" applyFont="1" applyFill="1" applyBorder="1" applyAlignment="1">
      <alignment vertical="center"/>
    </xf>
    <xf numFmtId="0" fontId="4" fillId="2" borderId="128" xfId="0" applyNumberFormat="1" applyFont="1" applyFill="1" applyBorder="1" applyAlignment="1">
      <alignment vertical="center"/>
    </xf>
    <xf numFmtId="0" fontId="4" fillId="2" borderId="106" xfId="0" applyNumberFormat="1" applyFont="1" applyFill="1" applyBorder="1" applyAlignment="1">
      <alignment horizontal="center" vertical="center"/>
    </xf>
    <xf numFmtId="0" fontId="4" fillId="2" borderId="129" xfId="0" applyNumberFormat="1" applyFont="1" applyFill="1" applyBorder="1" applyAlignment="1">
      <alignment vertical="center"/>
    </xf>
    <xf numFmtId="0" fontId="19" fillId="2" borderId="98" xfId="0" applyNumberFormat="1" applyFont="1" applyFill="1" applyBorder="1" applyAlignment="1">
      <alignment vertical="center"/>
    </xf>
    <xf numFmtId="0" fontId="13" fillId="2" borderId="127" xfId="0" applyNumberFormat="1" applyFont="1" applyFill="1" applyBorder="1" applyAlignment="1">
      <alignment horizontal="center" vertical="center"/>
    </xf>
    <xf numFmtId="0" fontId="26" fillId="2" borderId="127" xfId="0" applyNumberFormat="1" applyFont="1" applyFill="1" applyBorder="1" applyAlignment="1">
      <alignment vertical="center"/>
    </xf>
    <xf numFmtId="0" fontId="13" fillId="2" borderId="127" xfId="0" applyNumberFormat="1" applyFont="1" applyFill="1" applyBorder="1" applyAlignment="1">
      <alignment vertical="center"/>
    </xf>
    <xf numFmtId="0" fontId="13" fillId="2" borderId="119" xfId="0" applyNumberFormat="1" applyFont="1" applyFill="1" applyBorder="1" applyAlignment="1">
      <alignment vertical="center"/>
    </xf>
    <xf numFmtId="4" fontId="35" fillId="2" borderId="119" xfId="0" applyNumberFormat="1" applyFont="1" applyFill="1" applyBorder="1" applyAlignment="1">
      <alignment horizontal="left" vertical="center"/>
    </xf>
    <xf numFmtId="0" fontId="13" fillId="2" borderId="130" xfId="0" applyNumberFormat="1" applyFont="1" applyFill="1" applyBorder="1" applyAlignment="1">
      <alignment horizontal="center" vertical="center"/>
    </xf>
    <xf numFmtId="0" fontId="13" fillId="2" borderId="131" xfId="0" applyNumberFormat="1" applyFont="1" applyFill="1" applyBorder="1" applyAlignment="1">
      <alignment vertical="center"/>
    </xf>
    <xf numFmtId="0" fontId="13" fillId="2" borderId="132" xfId="0" applyNumberFormat="1" applyFont="1" applyFill="1" applyBorder="1" applyAlignment="1">
      <alignment vertical="center"/>
    </xf>
    <xf numFmtId="0" fontId="13" fillId="2" borderId="133" xfId="0" applyNumberFormat="1" applyFont="1" applyFill="1" applyBorder="1" applyAlignment="1">
      <alignment horizontal="center" vertical="center"/>
    </xf>
    <xf numFmtId="0" fontId="13" fillId="2" borderId="134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135" xfId="0" applyBorder="1" applyAlignment="1">
      <alignment/>
    </xf>
    <xf numFmtId="0" fontId="13" fillId="2" borderId="136" xfId="0" applyNumberFormat="1" applyFont="1" applyFill="1" applyBorder="1" applyAlignment="1">
      <alignment horizontal="center" vertical="center"/>
    </xf>
    <xf numFmtId="0" fontId="13" fillId="2" borderId="137" xfId="0" applyNumberFormat="1" applyFont="1" applyFill="1" applyBorder="1" applyAlignment="1">
      <alignment vertical="center"/>
    </xf>
    <xf numFmtId="0" fontId="0" fillId="0" borderId="138" xfId="0" applyBorder="1" applyAlignment="1">
      <alignment/>
    </xf>
    <xf numFmtId="0" fontId="26" fillId="2" borderId="131" xfId="0" applyNumberFormat="1" applyFont="1" applyFill="1" applyBorder="1" applyAlignment="1">
      <alignment vertical="center"/>
    </xf>
    <xf numFmtId="0" fontId="26" fillId="2" borderId="137" xfId="0" applyNumberFormat="1" applyFont="1" applyFill="1" applyBorder="1" applyAlignment="1">
      <alignment vertical="center"/>
    </xf>
    <xf numFmtId="0" fontId="31" fillId="0" borderId="0" xfId="0" applyNumberFormat="1" applyFont="1" applyAlignment="1">
      <alignment vertical="center"/>
    </xf>
    <xf numFmtId="0" fontId="4" fillId="2" borderId="139" xfId="0" applyNumberFormat="1" applyFont="1" applyFill="1" applyBorder="1" applyAlignment="1">
      <alignment vertical="center"/>
    </xf>
    <xf numFmtId="0" fontId="4" fillId="2" borderId="119" xfId="0" applyNumberFormat="1" applyFont="1" applyFill="1" applyBorder="1" applyAlignment="1">
      <alignment horizontal="right" vertical="center"/>
    </xf>
    <xf numFmtId="0" fontId="4" fillId="2" borderId="14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31" fillId="2" borderId="105" xfId="0" applyNumberFormat="1" applyFont="1" applyFill="1" applyBorder="1" applyAlignment="1">
      <alignment vertical="center"/>
    </xf>
    <xf numFmtId="0" fontId="4" fillId="2" borderId="141" xfId="0" applyNumberFormat="1" applyFont="1" applyFill="1" applyBorder="1" applyAlignment="1">
      <alignment horizontal="center" vertical="center"/>
    </xf>
    <xf numFmtId="0" fontId="43" fillId="2" borderId="142" xfId="0" applyNumberFormat="1" applyFont="1" applyFill="1" applyBorder="1" applyAlignment="1">
      <alignment vertical="center"/>
    </xf>
    <xf numFmtId="0" fontId="31" fillId="2" borderId="143" xfId="0" applyNumberFormat="1" applyFont="1" applyFill="1" applyBorder="1" applyAlignment="1">
      <alignment vertical="center"/>
    </xf>
    <xf numFmtId="0" fontId="31" fillId="2" borderId="129" xfId="0" applyNumberFormat="1" applyFont="1" applyFill="1" applyBorder="1" applyAlignment="1">
      <alignment vertical="center"/>
    </xf>
    <xf numFmtId="0" fontId="31" fillId="2" borderId="144" xfId="0" applyNumberFormat="1" applyFont="1" applyFill="1" applyBorder="1" applyAlignment="1">
      <alignment vertical="center"/>
    </xf>
    <xf numFmtId="0" fontId="19" fillId="2" borderId="145" xfId="0" applyNumberFormat="1" applyFont="1" applyFill="1" applyBorder="1" applyAlignment="1">
      <alignment horizontal="center" vertical="center"/>
    </xf>
    <xf numFmtId="168" fontId="19" fillId="2" borderId="146" xfId="0" applyNumberFormat="1" applyFont="1" applyFill="1" applyBorder="1" applyAlignment="1">
      <alignment horizontal="center" vertical="center"/>
    </xf>
    <xf numFmtId="0" fontId="19" fillId="2" borderId="147" xfId="0" applyNumberFormat="1" applyFont="1" applyFill="1" applyBorder="1" applyAlignment="1">
      <alignment horizontal="center" vertical="center"/>
    </xf>
    <xf numFmtId="2" fontId="36" fillId="2" borderId="148" xfId="0" applyNumberFormat="1" applyFont="1" applyFill="1" applyBorder="1" applyAlignment="1">
      <alignment horizontal="center" vertical="center"/>
    </xf>
    <xf numFmtId="0" fontId="36" fillId="2" borderId="148" xfId="0" applyNumberFormat="1" applyFont="1" applyFill="1" applyBorder="1" applyAlignment="1">
      <alignment horizontal="center" vertical="center"/>
    </xf>
    <xf numFmtId="0" fontId="4" fillId="2" borderId="149" xfId="0" applyNumberFormat="1" applyFont="1" applyFill="1" applyBorder="1" applyAlignment="1">
      <alignment horizontal="left" vertical="center"/>
    </xf>
    <xf numFmtId="0" fontId="4" fillId="2" borderId="149" xfId="0" applyNumberFormat="1" applyFont="1" applyFill="1" applyBorder="1" applyAlignment="1">
      <alignment horizontal="center" vertical="center"/>
    </xf>
    <xf numFmtId="168" fontId="19" fillId="2" borderId="150" xfId="0" applyNumberFormat="1" applyFont="1" applyFill="1" applyBorder="1" applyAlignment="1">
      <alignment horizontal="center" vertical="center"/>
    </xf>
    <xf numFmtId="0" fontId="4" fillId="2" borderId="143" xfId="0" applyNumberFormat="1" applyFont="1" applyFill="1" applyBorder="1" applyAlignment="1">
      <alignment vertical="center"/>
    </xf>
    <xf numFmtId="0" fontId="4" fillId="2" borderId="144" xfId="0" applyNumberFormat="1" applyFont="1" applyFill="1" applyBorder="1" applyAlignment="1">
      <alignment vertical="center"/>
    </xf>
    <xf numFmtId="0" fontId="31" fillId="2" borderId="151" xfId="0" applyNumberFormat="1" applyFont="1" applyFill="1" applyBorder="1" applyAlignment="1">
      <alignment vertical="center"/>
    </xf>
    <xf numFmtId="0" fontId="4" fillId="2" borderId="151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2" borderId="151" xfId="0" applyNumberFormat="1" applyFont="1" applyFill="1" applyBorder="1" applyAlignment="1">
      <alignment horizontal="center" vertical="center"/>
    </xf>
    <xf numFmtId="0" fontId="13" fillId="2" borderId="62" xfId="0" applyNumberFormat="1" applyFont="1" applyFill="1" applyBorder="1" applyAlignment="1">
      <alignment horizontal="left" vertical="center"/>
    </xf>
    <xf numFmtId="0" fontId="4" fillId="2" borderId="127" xfId="0" applyNumberFormat="1" applyFont="1" applyFill="1" applyBorder="1" applyAlignment="1">
      <alignment horizontal="center" vertical="center"/>
    </xf>
    <xf numFmtId="0" fontId="26" fillId="0" borderId="152" xfId="0" applyNumberFormat="1" applyFont="1" applyBorder="1" applyAlignment="1">
      <alignment horizontal="right" vertical="center"/>
    </xf>
    <xf numFmtId="2" fontId="13" fillId="0" borderId="153" xfId="0" applyNumberFormat="1" applyFont="1" applyBorder="1" applyAlignment="1">
      <alignment horizontal="left" vertical="center"/>
    </xf>
    <xf numFmtId="0" fontId="26" fillId="2" borderId="154" xfId="0" applyNumberFormat="1" applyFont="1" applyFill="1" applyBorder="1" applyAlignment="1">
      <alignment horizontal="right" vertical="center"/>
    </xf>
    <xf numFmtId="3" fontId="26" fillId="2" borderId="135" xfId="0" applyNumberFormat="1" applyFont="1" applyFill="1" applyBorder="1" applyAlignment="1">
      <alignment horizontal="left" vertical="center"/>
    </xf>
    <xf numFmtId="0" fontId="11" fillId="2" borderId="155" xfId="0" applyNumberFormat="1" applyFont="1" applyFill="1" applyBorder="1" applyAlignment="1">
      <alignment horizontal="right" vertical="center"/>
    </xf>
    <xf numFmtId="179" fontId="26" fillId="2" borderId="138" xfId="0" applyNumberFormat="1" applyFont="1" applyFill="1" applyBorder="1" applyAlignment="1">
      <alignment horizontal="left" vertical="center"/>
    </xf>
    <xf numFmtId="169" fontId="31" fillId="2" borderId="105" xfId="0" applyNumberFormat="1" applyFont="1" applyFill="1" applyBorder="1" applyAlignment="1">
      <alignment horizontal="center" vertical="center"/>
    </xf>
    <xf numFmtId="168" fontId="31" fillId="2" borderId="156" xfId="0" applyNumberFormat="1" applyFont="1" applyFill="1" applyBorder="1" applyAlignment="1">
      <alignment horizontal="center" vertical="center"/>
    </xf>
    <xf numFmtId="168" fontId="31" fillId="2" borderId="157" xfId="0" applyNumberFormat="1" applyFont="1" applyFill="1" applyBorder="1" applyAlignment="1">
      <alignment horizontal="center" vertical="center"/>
    </xf>
    <xf numFmtId="168" fontId="31" fillId="2" borderId="158" xfId="0" applyNumberFormat="1" applyFont="1" applyFill="1" applyBorder="1" applyAlignment="1">
      <alignment horizontal="center" vertical="center"/>
    </xf>
    <xf numFmtId="168" fontId="29" fillId="10" borderId="159" xfId="0" applyNumberFormat="1" applyFont="1" applyFill="1" applyBorder="1" applyAlignment="1">
      <alignment horizontal="center" vertical="center"/>
    </xf>
    <xf numFmtId="0" fontId="26" fillId="2" borderId="105" xfId="0" applyNumberFormat="1" applyFont="1" applyFill="1" applyBorder="1" applyAlignment="1">
      <alignment horizontal="right" vertical="center"/>
    </xf>
    <xf numFmtId="169" fontId="31" fillId="2" borderId="160" xfId="0" applyNumberFormat="1" applyFont="1" applyFill="1" applyBorder="1" applyAlignment="1">
      <alignment horizontal="center" vertical="center"/>
    </xf>
    <xf numFmtId="169" fontId="31" fillId="2" borderId="140" xfId="0" applyNumberFormat="1" applyFont="1" applyFill="1" applyBorder="1" applyAlignment="1">
      <alignment horizontal="center" vertical="center"/>
    </xf>
    <xf numFmtId="169" fontId="29" fillId="10" borderId="161" xfId="0" applyNumberFormat="1" applyFont="1" applyFill="1" applyBorder="1" applyAlignment="1">
      <alignment horizontal="center" vertical="center"/>
    </xf>
    <xf numFmtId="179" fontId="4" fillId="2" borderId="162" xfId="0" applyNumberFormat="1" applyFont="1" applyFill="1" applyBorder="1" applyAlignment="1">
      <alignment horizontal="center" vertical="center"/>
    </xf>
    <xf numFmtId="179" fontId="4" fillId="2" borderId="163" xfId="0" applyNumberFormat="1" applyFont="1" applyFill="1" applyBorder="1" applyAlignment="1">
      <alignment horizontal="center" vertical="center"/>
    </xf>
    <xf numFmtId="179" fontId="4" fillId="2" borderId="164" xfId="0" applyNumberFormat="1" applyFont="1" applyFill="1" applyBorder="1" applyAlignment="1">
      <alignment horizontal="center" vertical="center"/>
    </xf>
    <xf numFmtId="179" fontId="4" fillId="2" borderId="165" xfId="0" applyNumberFormat="1" applyFont="1" applyFill="1" applyBorder="1" applyAlignment="1">
      <alignment horizontal="center" vertical="center"/>
    </xf>
    <xf numFmtId="179" fontId="4" fillId="2" borderId="152" xfId="0" applyNumberFormat="1" applyFont="1" applyFill="1" applyBorder="1" applyAlignment="1">
      <alignment horizontal="center" vertical="center"/>
    </xf>
    <xf numFmtId="179" fontId="4" fillId="2" borderId="166" xfId="0" applyNumberFormat="1" applyFont="1" applyFill="1" applyBorder="1" applyAlignment="1">
      <alignment horizontal="center" vertical="center"/>
    </xf>
    <xf numFmtId="179" fontId="4" fillId="2" borderId="167" xfId="0" applyNumberFormat="1" applyFont="1" applyFill="1" applyBorder="1" applyAlignment="1">
      <alignment horizontal="center" vertical="center"/>
    </xf>
    <xf numFmtId="179" fontId="4" fillId="2" borderId="168" xfId="0" applyNumberFormat="1" applyFont="1" applyFill="1" applyBorder="1" applyAlignment="1">
      <alignment horizontal="center" vertical="center"/>
    </xf>
    <xf numFmtId="0" fontId="17" fillId="5" borderId="38" xfId="0" applyNumberFormat="1" applyFont="1" applyFill="1" applyBorder="1" applyAlignment="1">
      <alignment vertical="center"/>
    </xf>
    <xf numFmtId="0" fontId="17" fillId="5" borderId="20" xfId="0" applyNumberFormat="1" applyFont="1" applyFill="1" applyBorder="1" applyAlignment="1">
      <alignment vertical="center"/>
    </xf>
    <xf numFmtId="179" fontId="4" fillId="0" borderId="162" xfId="0" applyNumberFormat="1" applyFont="1" applyFill="1" applyBorder="1" applyAlignment="1">
      <alignment horizontal="center" vertical="center"/>
    </xf>
    <xf numFmtId="179" fontId="4" fillId="0" borderId="163" xfId="0" applyNumberFormat="1" applyFont="1" applyFill="1" applyBorder="1" applyAlignment="1">
      <alignment horizontal="center" vertical="center"/>
    </xf>
    <xf numFmtId="179" fontId="4" fillId="0" borderId="164" xfId="0" applyNumberFormat="1" applyFont="1" applyFill="1" applyBorder="1" applyAlignment="1">
      <alignment horizontal="center" vertical="center"/>
    </xf>
    <xf numFmtId="179" fontId="4" fillId="0" borderId="165" xfId="0" applyNumberFormat="1" applyFont="1" applyFill="1" applyBorder="1" applyAlignment="1">
      <alignment horizontal="center" vertical="center"/>
    </xf>
    <xf numFmtId="179" fontId="4" fillId="0" borderId="152" xfId="0" applyNumberFormat="1" applyFont="1" applyFill="1" applyBorder="1" applyAlignment="1">
      <alignment horizontal="center" vertical="center"/>
    </xf>
    <xf numFmtId="179" fontId="4" fillId="0" borderId="166" xfId="0" applyNumberFormat="1" applyFont="1" applyFill="1" applyBorder="1" applyAlignment="1">
      <alignment horizontal="center" vertical="center"/>
    </xf>
    <xf numFmtId="179" fontId="4" fillId="0" borderId="167" xfId="0" applyNumberFormat="1" applyFont="1" applyFill="1" applyBorder="1" applyAlignment="1">
      <alignment horizontal="center" vertical="center"/>
    </xf>
    <xf numFmtId="179" fontId="4" fillId="0" borderId="168" xfId="0" applyNumberFormat="1" applyFont="1" applyFill="1" applyBorder="1" applyAlignment="1">
      <alignment horizontal="center" vertical="center"/>
    </xf>
    <xf numFmtId="179" fontId="19" fillId="10" borderId="169" xfId="0" applyNumberFormat="1" applyFont="1" applyFill="1" applyBorder="1" applyAlignment="1">
      <alignment horizontal="center" vertical="center"/>
    </xf>
    <xf numFmtId="0" fontId="13" fillId="5" borderId="60" xfId="0" applyNumberFormat="1" applyFont="1" applyFill="1" applyBorder="1" applyAlignment="1">
      <alignment vertical="center"/>
    </xf>
    <xf numFmtId="0" fontId="44" fillId="2" borderId="16" xfId="0" applyNumberFormat="1" applyFont="1" applyFill="1" applyBorder="1" applyAlignment="1" applyProtection="1">
      <alignment horizontal="center" vertical="center"/>
      <protection locked="0"/>
    </xf>
    <xf numFmtId="0" fontId="17" fillId="2" borderId="62" xfId="0" applyNumberFormat="1" applyFont="1" applyFill="1" applyBorder="1" applyAlignment="1">
      <alignment vertical="center"/>
    </xf>
    <xf numFmtId="0" fontId="26" fillId="2" borderId="106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0" fontId="30" fillId="2" borderId="105" xfId="0" applyNumberFormat="1" applyFont="1" applyFill="1" applyBorder="1" applyAlignment="1">
      <alignment vertical="center"/>
    </xf>
    <xf numFmtId="0" fontId="29" fillId="2" borderId="98" xfId="0" applyNumberFormat="1" applyFont="1" applyFill="1" applyBorder="1" applyAlignment="1">
      <alignment vertical="center"/>
    </xf>
    <xf numFmtId="0" fontId="29" fillId="2" borderId="170" xfId="0" applyNumberFormat="1" applyFont="1" applyFill="1" applyBorder="1" applyAlignment="1">
      <alignment vertical="center"/>
    </xf>
    <xf numFmtId="0" fontId="46" fillId="2" borderId="0" xfId="0" applyNumberFormat="1" applyFont="1" applyFill="1" applyBorder="1" applyAlignment="1">
      <alignment vertical="center"/>
    </xf>
    <xf numFmtId="0" fontId="11" fillId="2" borderId="171" xfId="0" applyNumberFormat="1" applyFont="1" applyFill="1" applyBorder="1" applyAlignment="1">
      <alignment horizontal="left" vertical="center"/>
    </xf>
    <xf numFmtId="174" fontId="12" fillId="2" borderId="172" xfId="0" applyNumberFormat="1" applyFont="1" applyFill="1" applyBorder="1" applyAlignment="1">
      <alignment horizontal="center" vertical="center"/>
    </xf>
    <xf numFmtId="0" fontId="45" fillId="2" borderId="1" xfId="0" applyNumberFormat="1" applyFont="1" applyFill="1" applyBorder="1" applyAlignment="1">
      <alignment horizontal="right" vertical="center"/>
    </xf>
    <xf numFmtId="9" fontId="4" fillId="4" borderId="28" xfId="0" applyNumberFormat="1" applyFont="1" applyFill="1" applyBorder="1" applyAlignment="1">
      <alignment horizontal="center" vertical="center"/>
    </xf>
    <xf numFmtId="174" fontId="4" fillId="4" borderId="21" xfId="0" applyNumberFormat="1" applyFont="1" applyFill="1" applyBorder="1" applyAlignment="1">
      <alignment horizontal="center" vertical="center"/>
    </xf>
    <xf numFmtId="3" fontId="19" fillId="4" borderId="173" xfId="0" applyNumberFormat="1" applyFont="1" applyFill="1" applyBorder="1" applyAlignment="1">
      <alignment horizontal="center" vertical="center"/>
    </xf>
    <xf numFmtId="4" fontId="12" fillId="2" borderId="11" xfId="0" applyNumberFormat="1" applyFont="1" applyFill="1" applyBorder="1" applyAlignment="1">
      <alignment horizontal="center" vertical="center"/>
    </xf>
    <xf numFmtId="4" fontId="12" fillId="2" borderId="71" xfId="0" applyNumberFormat="1" applyFont="1" applyFill="1" applyBorder="1" applyAlignment="1">
      <alignment horizontal="center" vertical="center"/>
    </xf>
    <xf numFmtId="4" fontId="12" fillId="2" borderId="174" xfId="0" applyNumberFormat="1" applyFont="1" applyFill="1" applyBorder="1" applyAlignment="1">
      <alignment horizontal="center" vertical="center"/>
    </xf>
    <xf numFmtId="4" fontId="12" fillId="2" borderId="175" xfId="0" applyNumberFormat="1" applyFont="1" applyFill="1" applyBorder="1" applyAlignment="1">
      <alignment horizontal="center" vertical="center"/>
    </xf>
    <xf numFmtId="170" fontId="12" fillId="2" borderId="176" xfId="0" applyNumberFormat="1" applyFont="1" applyFill="1" applyBorder="1" applyAlignment="1">
      <alignment horizontal="center" vertical="center"/>
    </xf>
    <xf numFmtId="169" fontId="12" fillId="2" borderId="11" xfId="0" applyNumberFormat="1" applyFont="1" applyFill="1" applyBorder="1" applyAlignment="1">
      <alignment horizontal="center" vertical="center"/>
    </xf>
    <xf numFmtId="175" fontId="12" fillId="2" borderId="11" xfId="0" applyNumberFormat="1" applyFont="1" applyFill="1" applyBorder="1" applyAlignment="1">
      <alignment vertical="center"/>
    </xf>
    <xf numFmtId="169" fontId="12" fillId="2" borderId="11" xfId="0" applyNumberFormat="1" applyFont="1" applyFill="1" applyBorder="1" applyAlignment="1">
      <alignment horizontal="center" vertical="center"/>
    </xf>
    <xf numFmtId="170" fontId="12" fillId="2" borderId="177" xfId="0" applyNumberFormat="1" applyFont="1" applyFill="1" applyBorder="1" applyAlignment="1">
      <alignment horizontal="center" vertical="center"/>
    </xf>
    <xf numFmtId="169" fontId="12" fillId="2" borderId="71" xfId="0" applyNumberFormat="1" applyFont="1" applyFill="1" applyBorder="1" applyAlignment="1">
      <alignment horizontal="center" vertical="center"/>
    </xf>
    <xf numFmtId="175" fontId="12" fillId="2" borderId="71" xfId="0" applyNumberFormat="1" applyFont="1" applyFill="1" applyBorder="1" applyAlignment="1">
      <alignment vertical="center"/>
    </xf>
    <xf numFmtId="169" fontId="12" fillId="2" borderId="71" xfId="0" applyNumberFormat="1" applyFont="1" applyFill="1" applyBorder="1" applyAlignment="1">
      <alignment horizontal="center" vertical="center"/>
    </xf>
    <xf numFmtId="4" fontId="38" fillId="2" borderId="16" xfId="0" applyNumberFormat="1" applyFont="1" applyFill="1" applyBorder="1" applyAlignment="1">
      <alignment horizontal="center" vertical="center"/>
    </xf>
    <xf numFmtId="170" fontId="29" fillId="2" borderId="110" xfId="0" applyNumberFormat="1" applyFont="1" applyFill="1" applyBorder="1" applyAlignment="1">
      <alignment horizontal="center" vertical="center"/>
    </xf>
    <xf numFmtId="2" fontId="29" fillId="2" borderId="110" xfId="0" applyNumberFormat="1" applyFont="1" applyFill="1" applyBorder="1" applyAlignment="1">
      <alignment horizontal="center" vertical="center"/>
    </xf>
    <xf numFmtId="3" fontId="29" fillId="2" borderId="110" xfId="0" applyNumberFormat="1" applyFont="1" applyFill="1" applyBorder="1" applyAlignment="1">
      <alignment horizontal="center" vertical="center"/>
    </xf>
    <xf numFmtId="173" fontId="29" fillId="2" borderId="71" xfId="0" applyNumberFormat="1" applyFont="1" applyFill="1" applyBorder="1" applyAlignment="1">
      <alignment horizontal="center" vertical="center"/>
    </xf>
    <xf numFmtId="2" fontId="29" fillId="2" borderId="71" xfId="0" applyNumberFormat="1" applyFont="1" applyFill="1" applyBorder="1" applyAlignment="1">
      <alignment horizontal="center" vertical="center"/>
    </xf>
    <xf numFmtId="1" fontId="29" fillId="2" borderId="71" xfId="0" applyNumberFormat="1" applyFont="1" applyFill="1" applyBorder="1" applyAlignment="1">
      <alignment horizontal="center" vertical="center"/>
    </xf>
    <xf numFmtId="3" fontId="29" fillId="2" borderId="71" xfId="0" applyNumberFormat="1" applyFont="1" applyFill="1" applyBorder="1" applyAlignment="1">
      <alignment horizontal="center" vertical="center"/>
    </xf>
    <xf numFmtId="1" fontId="29" fillId="2" borderId="12" xfId="0" applyNumberFormat="1" applyFont="1" applyFill="1" applyBorder="1" applyAlignment="1">
      <alignment horizontal="center" vertical="center"/>
    </xf>
    <xf numFmtId="1" fontId="29" fillId="2" borderId="71" xfId="0" applyNumberFormat="1" applyFont="1" applyFill="1" applyBorder="1" applyAlignment="1">
      <alignment horizontal="left" vertical="center" indent="1"/>
    </xf>
    <xf numFmtId="0" fontId="12" fillId="2" borderId="1" xfId="0" applyNumberFormat="1" applyFont="1" applyFill="1" applyBorder="1" applyAlignment="1">
      <alignment horizontal="left" vertical="center"/>
    </xf>
    <xf numFmtId="169" fontId="29" fillId="2" borderId="71" xfId="0" applyNumberFormat="1" applyFont="1" applyFill="1" applyBorder="1" applyAlignment="1">
      <alignment horizontal="center" vertical="center"/>
    </xf>
    <xf numFmtId="175" fontId="29" fillId="2" borderId="71" xfId="0" applyNumberFormat="1" applyFont="1" applyFill="1" applyBorder="1" applyAlignment="1">
      <alignment horizontal="center" vertical="center"/>
    </xf>
    <xf numFmtId="173" fontId="29" fillId="2" borderId="110" xfId="0" applyNumberFormat="1" applyFont="1" applyFill="1" applyBorder="1" applyAlignment="1">
      <alignment horizontal="center" vertical="center"/>
    </xf>
    <xf numFmtId="1" fontId="29" fillId="2" borderId="110" xfId="0" applyNumberFormat="1" applyFont="1" applyFill="1" applyBorder="1" applyAlignment="1">
      <alignment horizontal="center" vertical="center"/>
    </xf>
    <xf numFmtId="170" fontId="19" fillId="2" borderId="5" xfId="0" applyNumberFormat="1" applyFont="1" applyFill="1" applyBorder="1" applyAlignment="1">
      <alignment horizontal="right" vertical="center"/>
    </xf>
    <xf numFmtId="169" fontId="19" fillId="2" borderId="5" xfId="0" applyNumberFormat="1" applyFont="1" applyFill="1" applyBorder="1" applyAlignment="1">
      <alignment vertical="center"/>
    </xf>
    <xf numFmtId="2" fontId="19" fillId="2" borderId="5" xfId="0" applyNumberFormat="1" applyFont="1" applyFill="1" applyBorder="1" applyAlignment="1">
      <alignment vertical="center"/>
    </xf>
    <xf numFmtId="172" fontId="19" fillId="2" borderId="5" xfId="0" applyNumberFormat="1" applyFont="1" applyFill="1" applyBorder="1" applyAlignment="1">
      <alignment vertical="center"/>
    </xf>
    <xf numFmtId="3" fontId="19" fillId="2" borderId="5" xfId="0" applyNumberFormat="1" applyFont="1" applyFill="1" applyBorder="1" applyAlignment="1">
      <alignment vertical="center"/>
    </xf>
    <xf numFmtId="3" fontId="12" fillId="2" borderId="54" xfId="0" applyNumberFormat="1" applyFont="1" applyFill="1" applyBorder="1" applyAlignment="1">
      <alignment vertical="center"/>
    </xf>
    <xf numFmtId="3" fontId="38" fillId="2" borderId="16" xfId="0" applyNumberFormat="1" applyFont="1" applyFill="1" applyBorder="1" applyAlignment="1">
      <alignment horizontal="center" vertical="center"/>
    </xf>
    <xf numFmtId="173" fontId="19" fillId="2" borderId="119" xfId="0" applyNumberFormat="1" applyFont="1" applyFill="1" applyBorder="1" applyAlignment="1">
      <alignment horizontal="right" vertical="center"/>
    </xf>
    <xf numFmtId="2" fontId="19" fillId="2" borderId="119" xfId="0" applyNumberFormat="1" applyFont="1" applyFill="1" applyBorder="1" applyAlignment="1">
      <alignment horizontal="right" vertical="center"/>
    </xf>
    <xf numFmtId="3" fontId="19" fillId="2" borderId="119" xfId="0" applyNumberFormat="1" applyFont="1" applyFill="1" applyBorder="1" applyAlignment="1">
      <alignment horizontal="right" vertical="center"/>
    </xf>
    <xf numFmtId="176" fontId="16" fillId="2" borderId="119" xfId="0" applyNumberFormat="1" applyFont="1" applyFill="1" applyBorder="1" applyAlignment="1">
      <alignment horizontal="center" vertical="center"/>
    </xf>
    <xf numFmtId="174" fontId="12" fillId="2" borderId="178" xfId="0" applyNumberFormat="1" applyFont="1" applyFill="1" applyBorder="1" applyAlignment="1">
      <alignment horizontal="center" vertical="center"/>
    </xf>
    <xf numFmtId="169" fontId="12" fillId="2" borderId="179" xfId="0" applyNumberFormat="1" applyFont="1" applyFill="1" applyBorder="1" applyAlignment="1">
      <alignment horizontal="center" vertical="center"/>
    </xf>
    <xf numFmtId="2" fontId="12" fillId="2" borderId="179" xfId="0" applyNumberFormat="1" applyFont="1" applyFill="1" applyBorder="1" applyAlignment="1">
      <alignment horizontal="center" vertical="center"/>
    </xf>
    <xf numFmtId="3" fontId="12" fillId="2" borderId="179" xfId="0" applyNumberFormat="1" applyFont="1" applyFill="1" applyBorder="1" applyAlignment="1">
      <alignment horizontal="center" vertical="center"/>
    </xf>
    <xf numFmtId="3" fontId="4" fillId="2" borderId="180" xfId="0" applyNumberFormat="1" applyFont="1" applyFill="1" applyBorder="1" applyAlignment="1">
      <alignment horizontal="center" vertical="center"/>
    </xf>
    <xf numFmtId="172" fontId="7" fillId="2" borderId="181" xfId="0" applyNumberFormat="1" applyFont="1" applyFill="1" applyBorder="1" applyAlignment="1">
      <alignment horizontal="center" vertical="center"/>
    </xf>
    <xf numFmtId="176" fontId="26" fillId="2" borderId="179" xfId="0" applyNumberFormat="1" applyFont="1" applyFill="1" applyBorder="1" applyAlignment="1">
      <alignment horizontal="center" vertical="center"/>
    </xf>
    <xf numFmtId="3" fontId="12" fillId="2" borderId="182" xfId="0" applyNumberFormat="1" applyFont="1" applyFill="1" applyBorder="1" applyAlignment="1">
      <alignment horizontal="center" vertical="center"/>
    </xf>
    <xf numFmtId="176" fontId="13" fillId="2" borderId="183" xfId="0" applyNumberFormat="1" applyFont="1" applyFill="1" applyBorder="1" applyAlignment="1">
      <alignment horizontal="center" vertical="center"/>
    </xf>
    <xf numFmtId="3" fontId="14" fillId="2" borderId="117" xfId="0" applyNumberFormat="1" applyFont="1" applyFill="1" applyBorder="1" applyAlignment="1">
      <alignment vertical="center"/>
    </xf>
    <xf numFmtId="3" fontId="12" fillId="2" borderId="102" xfId="0" applyNumberFormat="1" applyFont="1" applyFill="1" applyBorder="1" applyAlignment="1">
      <alignment horizontal="center" vertical="center"/>
    </xf>
    <xf numFmtId="179" fontId="4" fillId="0" borderId="184" xfId="0" applyNumberFormat="1" applyFont="1" applyFill="1" applyBorder="1" applyAlignment="1">
      <alignment horizontal="center" vertical="center"/>
    </xf>
    <xf numFmtId="179" fontId="4" fillId="0" borderId="185" xfId="0" applyNumberFormat="1" applyFont="1" applyFill="1" applyBorder="1" applyAlignment="1">
      <alignment horizontal="center" vertical="center"/>
    </xf>
    <xf numFmtId="179" fontId="4" fillId="0" borderId="186" xfId="0" applyNumberFormat="1" applyFont="1" applyFill="1" applyBorder="1" applyAlignment="1">
      <alignment horizontal="center" vertical="center"/>
    </xf>
    <xf numFmtId="179" fontId="4" fillId="0" borderId="187" xfId="0" applyNumberFormat="1" applyFont="1" applyFill="1" applyBorder="1" applyAlignment="1">
      <alignment horizontal="center" vertical="center"/>
    </xf>
    <xf numFmtId="179" fontId="4" fillId="0" borderId="188" xfId="0" applyNumberFormat="1" applyFont="1" applyFill="1" applyBorder="1" applyAlignment="1">
      <alignment horizontal="center" vertical="center"/>
    </xf>
    <xf numFmtId="179" fontId="4" fillId="0" borderId="189" xfId="0" applyNumberFormat="1" applyFont="1" applyFill="1" applyBorder="1" applyAlignment="1">
      <alignment horizontal="center" vertical="center"/>
    </xf>
    <xf numFmtId="179" fontId="4" fillId="0" borderId="190" xfId="0" applyNumberFormat="1" applyFont="1" applyFill="1" applyBorder="1" applyAlignment="1">
      <alignment horizontal="center" vertical="center"/>
    </xf>
    <xf numFmtId="179" fontId="4" fillId="0" borderId="191" xfId="0" applyNumberFormat="1" applyFont="1" applyFill="1" applyBorder="1" applyAlignment="1">
      <alignment horizontal="center" vertical="center"/>
    </xf>
    <xf numFmtId="179" fontId="4" fillId="0" borderId="192" xfId="0" applyNumberFormat="1" applyFont="1" applyFill="1" applyBorder="1" applyAlignment="1">
      <alignment horizontal="center" vertical="center"/>
    </xf>
    <xf numFmtId="179" fontId="4" fillId="0" borderId="193" xfId="0" applyNumberFormat="1" applyFont="1" applyFill="1" applyBorder="1" applyAlignment="1">
      <alignment horizontal="center" vertical="center"/>
    </xf>
    <xf numFmtId="179" fontId="4" fillId="0" borderId="194" xfId="0" applyNumberFormat="1" applyFont="1" applyFill="1" applyBorder="1" applyAlignment="1">
      <alignment horizontal="center" vertical="center"/>
    </xf>
    <xf numFmtId="179" fontId="4" fillId="0" borderId="195" xfId="0" applyNumberFormat="1" applyFont="1" applyFill="1" applyBorder="1" applyAlignment="1">
      <alignment horizontal="center" vertical="center"/>
    </xf>
    <xf numFmtId="179" fontId="4" fillId="2" borderId="184" xfId="0" applyNumberFormat="1" applyFont="1" applyFill="1" applyBorder="1" applyAlignment="1">
      <alignment horizontal="center" vertical="center"/>
    </xf>
    <xf numFmtId="179" fontId="4" fillId="2" borderId="185" xfId="0" applyNumberFormat="1" applyFont="1" applyFill="1" applyBorder="1" applyAlignment="1">
      <alignment horizontal="center" vertical="center"/>
    </xf>
    <xf numFmtId="179" fontId="4" fillId="2" borderId="186" xfId="0" applyNumberFormat="1" applyFont="1" applyFill="1" applyBorder="1" applyAlignment="1">
      <alignment horizontal="center" vertical="center"/>
    </xf>
    <xf numFmtId="179" fontId="4" fillId="2" borderId="187" xfId="0" applyNumberFormat="1" applyFont="1" applyFill="1" applyBorder="1" applyAlignment="1">
      <alignment horizontal="center" vertical="center"/>
    </xf>
    <xf numFmtId="179" fontId="4" fillId="2" borderId="188" xfId="0" applyNumberFormat="1" applyFont="1" applyFill="1" applyBorder="1" applyAlignment="1">
      <alignment horizontal="center" vertical="center"/>
    </xf>
    <xf numFmtId="179" fontId="4" fillId="2" borderId="189" xfId="0" applyNumberFormat="1" applyFont="1" applyFill="1" applyBorder="1" applyAlignment="1">
      <alignment horizontal="center" vertical="center"/>
    </xf>
    <xf numFmtId="179" fontId="4" fillId="2" borderId="190" xfId="0" applyNumberFormat="1" applyFont="1" applyFill="1" applyBorder="1" applyAlignment="1">
      <alignment horizontal="center" vertical="center"/>
    </xf>
    <xf numFmtId="179" fontId="4" fillId="2" borderId="191" xfId="0" applyNumberFormat="1" applyFont="1" applyFill="1" applyBorder="1" applyAlignment="1">
      <alignment horizontal="center" vertical="center"/>
    </xf>
    <xf numFmtId="179" fontId="4" fillId="2" borderId="192" xfId="0" applyNumberFormat="1" applyFont="1" applyFill="1" applyBorder="1" applyAlignment="1">
      <alignment horizontal="center" vertical="center"/>
    </xf>
    <xf numFmtId="179" fontId="4" fillId="2" borderId="193" xfId="0" applyNumberFormat="1" applyFont="1" applyFill="1" applyBorder="1" applyAlignment="1">
      <alignment horizontal="center" vertical="center"/>
    </xf>
    <xf numFmtId="179" fontId="4" fillId="2" borderId="194" xfId="0" applyNumberFormat="1" applyFont="1" applyFill="1" applyBorder="1" applyAlignment="1">
      <alignment horizontal="center" vertical="center"/>
    </xf>
    <xf numFmtId="179" fontId="4" fillId="2" borderId="195" xfId="0" applyNumberFormat="1" applyFont="1" applyFill="1" applyBorder="1" applyAlignment="1">
      <alignment horizontal="center" vertical="center"/>
    </xf>
    <xf numFmtId="9" fontId="42" fillId="4" borderId="21" xfId="19" applyFont="1" applyFill="1" applyBorder="1" applyAlignment="1">
      <alignment horizontal="center" vertical="center"/>
    </xf>
    <xf numFmtId="0" fontId="42" fillId="4" borderId="21" xfId="0" applyNumberFormat="1" applyFont="1" applyFill="1" applyBorder="1" applyAlignment="1" quotePrefix="1">
      <alignment horizontal="center" vertical="center"/>
    </xf>
    <xf numFmtId="2" fontId="19" fillId="2" borderId="78" xfId="0" applyNumberFormat="1" applyFont="1" applyFill="1" applyBorder="1" applyAlignment="1">
      <alignment horizontal="center" vertical="center"/>
    </xf>
    <xf numFmtId="176" fontId="16" fillId="2" borderId="79" xfId="0" applyNumberFormat="1" applyFont="1" applyFill="1" applyBorder="1" applyAlignment="1">
      <alignment horizontal="center" vertical="center"/>
    </xf>
    <xf numFmtId="169" fontId="29" fillId="2" borderId="78" xfId="0" applyNumberFormat="1" applyFont="1" applyFill="1" applyBorder="1" applyAlignment="1">
      <alignment horizontal="center" vertical="center"/>
    </xf>
    <xf numFmtId="174" fontId="29" fillId="2" borderId="77" xfId="0" applyNumberFormat="1" applyFont="1" applyFill="1" applyBorder="1" applyAlignment="1">
      <alignment horizontal="center" vertical="center"/>
    </xf>
    <xf numFmtId="172" fontId="32" fillId="2" borderId="196" xfId="0" applyNumberFormat="1" applyFont="1" applyFill="1" applyBorder="1" applyAlignment="1">
      <alignment horizontal="center" vertical="center"/>
    </xf>
    <xf numFmtId="3" fontId="29" fillId="2" borderId="78" xfId="0" applyNumberFormat="1" applyFont="1" applyFill="1" applyBorder="1" applyAlignment="1">
      <alignment horizontal="center" vertical="center"/>
    </xf>
    <xf numFmtId="170" fontId="7" fillId="2" borderId="16" xfId="0" applyNumberFormat="1" applyFont="1" applyFill="1" applyBorder="1" applyAlignment="1" applyProtection="1">
      <alignment horizontal="center" vertical="center"/>
      <protection locked="0"/>
    </xf>
    <xf numFmtId="176" fontId="38" fillId="2" borderId="16" xfId="0" applyNumberFormat="1" applyFont="1" applyFill="1" applyBorder="1" applyAlignment="1">
      <alignment horizontal="center" vertical="center"/>
    </xf>
    <xf numFmtId="172" fontId="38" fillId="2" borderId="197" xfId="0" applyNumberFormat="1" applyFont="1" applyFill="1" applyBorder="1" applyAlignment="1">
      <alignment horizontal="center" vertical="center"/>
    </xf>
    <xf numFmtId="170" fontId="38" fillId="2" borderId="16" xfId="0" applyNumberFormat="1" applyFont="1" applyFill="1" applyBorder="1" applyAlignment="1" applyProtection="1">
      <alignment horizontal="center" vertical="center"/>
      <protection locked="0"/>
    </xf>
    <xf numFmtId="168" fontId="38" fillId="2" borderId="16" xfId="0" applyNumberFormat="1" applyFont="1" applyFill="1" applyBorder="1" applyAlignment="1">
      <alignment horizontal="center" vertical="center"/>
    </xf>
    <xf numFmtId="2" fontId="29" fillId="2" borderId="78" xfId="0" applyNumberFormat="1" applyFont="1" applyFill="1" applyBorder="1" applyAlignment="1">
      <alignment horizontal="center" vertical="center"/>
    </xf>
    <xf numFmtId="3" fontId="7" fillId="2" borderId="109" xfId="0" applyNumberFormat="1" applyFont="1" applyFill="1" applyBorder="1" applyAlignment="1">
      <alignment horizontal="center" vertical="center"/>
    </xf>
    <xf numFmtId="168" fontId="19" fillId="2" borderId="146" xfId="0" applyNumberFormat="1" applyFont="1" applyFill="1" applyBorder="1" applyAlignment="1">
      <alignment horizontal="center" vertical="center"/>
    </xf>
    <xf numFmtId="169" fontId="19" fillId="2" borderId="146" xfId="0" applyNumberFormat="1" applyFont="1" applyFill="1" applyBorder="1" applyAlignment="1">
      <alignment horizontal="center" vertical="center"/>
    </xf>
    <xf numFmtId="0" fontId="31" fillId="2" borderId="170" xfId="0" applyNumberFormat="1" applyFont="1" applyFill="1" applyBorder="1" applyAlignment="1">
      <alignment vertical="center"/>
    </xf>
    <xf numFmtId="180" fontId="7" fillId="2" borderId="16" xfId="0" applyNumberFormat="1" applyFont="1" applyFill="1" applyBorder="1" applyAlignment="1">
      <alignment horizontal="center" vertical="center"/>
    </xf>
    <xf numFmtId="180" fontId="7" fillId="2" borderId="55" xfId="0" applyNumberFormat="1" applyFont="1" applyFill="1" applyBorder="1" applyAlignment="1">
      <alignment horizontal="center" vertical="center"/>
    </xf>
    <xf numFmtId="169" fontId="7" fillId="5" borderId="23" xfId="0" applyNumberFormat="1" applyFont="1" applyFill="1" applyBorder="1" applyAlignment="1">
      <alignment horizontal="center" vertical="center"/>
    </xf>
    <xf numFmtId="169" fontId="7" fillId="5" borderId="16" xfId="0" applyNumberFormat="1" applyFont="1" applyFill="1" applyBorder="1" applyAlignment="1">
      <alignment horizontal="center" vertical="center"/>
    </xf>
    <xf numFmtId="176" fontId="7" fillId="5" borderId="198" xfId="0" applyNumberFormat="1" applyFont="1" applyFill="1" applyBorder="1" applyAlignment="1">
      <alignment horizontal="center" vertical="center"/>
    </xf>
    <xf numFmtId="180" fontId="7" fillId="2" borderId="16" xfId="0" applyNumberFormat="1" applyFont="1" applyFill="1" applyBorder="1" applyAlignment="1">
      <alignment horizontal="center" vertical="center"/>
    </xf>
    <xf numFmtId="180" fontId="7" fillId="2" borderId="55" xfId="0" applyNumberFormat="1" applyFont="1" applyFill="1" applyBorder="1" applyAlignment="1">
      <alignment horizontal="center" vertical="center"/>
    </xf>
    <xf numFmtId="176" fontId="7" fillId="5" borderId="19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0000D4"/>
      <rgbColor rgb="00FFCC99"/>
      <rgbColor rgb="00DD0806"/>
      <rgbColor rgb="00CCFFCC"/>
      <rgbColor rgb="0099CCFF"/>
      <rgbColor rgb="00333333"/>
      <rgbColor rgb="00969696"/>
      <rgbColor rgb="00CCFFFF"/>
      <rgbColor rgb="00FFFF99"/>
      <rgbColor rgb="00006411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GridLines="0" tabSelected="1" zoomScale="175" zoomScaleNormal="175" workbookViewId="0" topLeftCell="A1">
      <selection activeCell="O17" sqref="O17"/>
    </sheetView>
  </sheetViews>
  <sheetFormatPr defaultColWidth="10.296875" defaultRowHeight="19.5" customHeight="1"/>
  <cols>
    <col min="1" max="1" width="1.2890625" style="277" customWidth="1"/>
    <col min="2" max="2" width="2.296875" style="277" customWidth="1"/>
    <col min="3" max="3" width="1.2890625" style="277" customWidth="1"/>
    <col min="4" max="4" width="11.8984375" style="277" customWidth="1"/>
    <col min="5" max="5" width="2.59765625" style="277" customWidth="1"/>
    <col min="6" max="6" width="7.09765625" style="277" customWidth="1"/>
    <col min="7" max="7" width="6" style="277" customWidth="1"/>
    <col min="8" max="8" width="7.8984375" style="277" customWidth="1"/>
    <col min="9" max="9" width="6" style="277" customWidth="1"/>
    <col min="10" max="10" width="6.09765625" style="277" customWidth="1"/>
    <col min="11" max="11" width="1.2890625" style="277" customWidth="1"/>
    <col min="12" max="12" width="7.09765625" style="277" customWidth="1"/>
    <col min="13" max="13" width="1.2890625" style="277" customWidth="1"/>
    <col min="14" max="14" width="6.09765625" style="277" customWidth="1"/>
    <col min="15" max="15" width="5.09765625" style="277" customWidth="1"/>
    <col min="16" max="16" width="0.40625" style="277" customWidth="1"/>
    <col min="17" max="17" width="1.2890625" style="277" customWidth="1"/>
    <col min="18" max="16384" width="10.296875" style="277" customWidth="1"/>
  </cols>
  <sheetData>
    <row r="1" spans="1:17" ht="0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15" customHeight="1">
      <c r="A2" s="3"/>
      <c r="B2" s="4" t="s">
        <v>137</v>
      </c>
      <c r="C2" s="5"/>
      <c r="D2" s="5"/>
      <c r="E2" s="5"/>
      <c r="F2" s="5"/>
      <c r="G2" s="5"/>
      <c r="H2" s="5"/>
      <c r="I2" s="6" t="s">
        <v>138</v>
      </c>
      <c r="J2" s="7" t="s">
        <v>79</v>
      </c>
      <c r="K2" s="376" t="s">
        <v>87</v>
      </c>
      <c r="L2" s="8" t="s">
        <v>127</v>
      </c>
      <c r="M2" s="8"/>
      <c r="N2" s="8"/>
      <c r="O2" s="9"/>
      <c r="P2" s="377"/>
      <c r="Q2" s="10"/>
    </row>
    <row r="3" spans="1:17" ht="15" customHeight="1" thickBot="1">
      <c r="A3" s="3"/>
      <c r="B3" s="302"/>
      <c r="C3" s="305" t="s">
        <v>139</v>
      </c>
      <c r="E3" s="2"/>
      <c r="F3" s="2"/>
      <c r="G3" s="13" t="s">
        <v>140</v>
      </c>
      <c r="H3" s="14" t="s">
        <v>141</v>
      </c>
      <c r="I3" s="14" t="s">
        <v>142</v>
      </c>
      <c r="J3" s="2"/>
      <c r="K3" s="15"/>
      <c r="L3" s="12" t="s">
        <v>94</v>
      </c>
      <c r="M3" s="12"/>
      <c r="N3" s="16"/>
      <c r="O3" s="2"/>
      <c r="P3" s="3"/>
      <c r="Q3" s="10"/>
    </row>
    <row r="4" spans="1:17" ht="16.5" thickBot="1" thickTop="1">
      <c r="A4" s="3"/>
      <c r="B4" s="17">
        <v>1</v>
      </c>
      <c r="C4" s="304"/>
      <c r="D4" s="18" t="s">
        <v>95</v>
      </c>
      <c r="E4" s="19"/>
      <c r="F4" s="20"/>
      <c r="G4" s="21">
        <v>1</v>
      </c>
      <c r="H4" s="22">
        <v>1.8</v>
      </c>
      <c r="I4" s="23">
        <v>5.6</v>
      </c>
      <c r="J4" s="298" t="s">
        <v>96</v>
      </c>
      <c r="K4" s="24"/>
      <c r="L4" s="464" t="s">
        <v>28</v>
      </c>
      <c r="M4" s="25"/>
      <c r="N4" s="26"/>
      <c r="O4" s="27"/>
      <c r="P4" s="28"/>
      <c r="Q4" s="10"/>
    </row>
    <row r="5" spans="1:17" ht="16.5" thickBot="1" thickTop="1">
      <c r="A5" s="3"/>
      <c r="B5" s="17">
        <v>2</v>
      </c>
      <c r="C5" s="3"/>
      <c r="D5" s="29" t="s">
        <v>40</v>
      </c>
      <c r="E5" s="553" t="s">
        <v>97</v>
      </c>
      <c r="F5" s="552">
        <v>0.9</v>
      </c>
      <c r="G5" s="31">
        <f>1-G4</f>
        <v>0</v>
      </c>
      <c r="H5" s="22">
        <v>2</v>
      </c>
      <c r="I5" s="23">
        <f>F5*I4</f>
        <v>5.04</v>
      </c>
      <c r="J5" s="299" t="s">
        <v>96</v>
      </c>
      <c r="K5" s="24"/>
      <c r="L5" s="32">
        <v>6</v>
      </c>
      <c r="M5" s="33" t="s">
        <v>41</v>
      </c>
      <c r="N5" s="34">
        <v>7</v>
      </c>
      <c r="O5" s="35"/>
      <c r="P5" s="28"/>
      <c r="Q5" s="10"/>
    </row>
    <row r="6" spans="1:17" ht="13.5" customHeight="1" thickBot="1" thickTop="1">
      <c r="A6" s="3"/>
      <c r="B6" s="17"/>
      <c r="C6" s="303"/>
      <c r="D6" s="36"/>
      <c r="E6" s="37"/>
      <c r="F6" s="37"/>
      <c r="G6" s="38" t="s">
        <v>128</v>
      </c>
      <c r="H6" s="39">
        <f>(G4*H4)+(G5*H5)</f>
        <v>1.8</v>
      </c>
      <c r="I6" s="40">
        <f>(G4*I4)+(G5*I5)</f>
        <v>5.6</v>
      </c>
      <c r="J6" s="300" t="s">
        <v>96</v>
      </c>
      <c r="K6" s="24"/>
      <c r="L6" s="293" t="s">
        <v>129</v>
      </c>
      <c r="M6" s="41"/>
      <c r="N6" s="42"/>
      <c r="O6" s="43"/>
      <c r="P6" s="28"/>
      <c r="Q6" s="10"/>
    </row>
    <row r="7" spans="1:17" ht="15" customHeight="1" thickBot="1" thickTop="1">
      <c r="A7" s="3"/>
      <c r="B7" s="302"/>
      <c r="C7" s="305" t="s">
        <v>130</v>
      </c>
      <c r="E7" s="44"/>
      <c r="F7" s="44"/>
      <c r="G7" s="45" t="s">
        <v>131</v>
      </c>
      <c r="H7" s="46" t="s">
        <v>43</v>
      </c>
      <c r="I7" s="47" t="s">
        <v>29</v>
      </c>
      <c r="J7" s="48"/>
      <c r="K7" s="49"/>
      <c r="L7" s="453" t="s">
        <v>132</v>
      </c>
      <c r="M7" s="41"/>
      <c r="N7" s="50"/>
      <c r="O7" s="577">
        <v>0.036</v>
      </c>
      <c r="P7" s="28"/>
      <c r="Q7" s="10"/>
    </row>
    <row r="8" spans="1:17" ht="16.5" thickBot="1" thickTop="1">
      <c r="A8" s="3"/>
      <c r="B8" s="17">
        <v>3</v>
      </c>
      <c r="C8" s="304"/>
      <c r="D8" s="51" t="s">
        <v>30</v>
      </c>
      <c r="E8" s="52"/>
      <c r="F8" s="19"/>
      <c r="G8" s="53">
        <v>0</v>
      </c>
      <c r="H8" s="54">
        <v>10</v>
      </c>
      <c r="I8" s="55">
        <v>0</v>
      </c>
      <c r="J8" s="295" t="s">
        <v>96</v>
      </c>
      <c r="K8" s="56"/>
      <c r="L8" s="454" t="s">
        <v>31</v>
      </c>
      <c r="M8" s="57"/>
      <c r="N8" s="58"/>
      <c r="O8" s="59">
        <v>1</v>
      </c>
      <c r="P8" s="28"/>
      <c r="Q8" s="17"/>
    </row>
    <row r="9" spans="1:17" ht="16.5" thickBot="1" thickTop="1">
      <c r="A9" s="3"/>
      <c r="B9" s="17">
        <v>4</v>
      </c>
      <c r="C9" s="3"/>
      <c r="D9" s="60" t="s">
        <v>32</v>
      </c>
      <c r="E9" s="61"/>
      <c r="F9" s="62"/>
      <c r="G9" s="21">
        <v>0.3</v>
      </c>
      <c r="H9" s="63">
        <v>20</v>
      </c>
      <c r="I9" s="64">
        <f>G9*I$6*H9</f>
        <v>33.6</v>
      </c>
      <c r="J9" s="296" t="s">
        <v>96</v>
      </c>
      <c r="K9" s="28"/>
      <c r="L9" s="65"/>
      <c r="M9" s="294" t="s">
        <v>33</v>
      </c>
      <c r="N9" s="66">
        <f>43560/(L5*N5)*(1-O7)</f>
        <v>999.8057142857142</v>
      </c>
      <c r="O9" s="67" t="s">
        <v>34</v>
      </c>
      <c r="P9" s="28"/>
      <c r="Q9" s="68"/>
    </row>
    <row r="10" spans="1:17" ht="16.5" thickBot="1" thickTop="1">
      <c r="A10" s="3"/>
      <c r="B10" s="17">
        <v>5</v>
      </c>
      <c r="C10" s="3"/>
      <c r="D10" s="60" t="s">
        <v>32</v>
      </c>
      <c r="E10" s="61"/>
      <c r="F10" s="62"/>
      <c r="G10" s="21">
        <v>0.7</v>
      </c>
      <c r="H10" s="63">
        <v>20</v>
      </c>
      <c r="I10" s="64">
        <f>G10*I$6*H10</f>
        <v>78.39999999999999</v>
      </c>
      <c r="J10" s="296" t="s">
        <v>96</v>
      </c>
      <c r="K10" s="56"/>
      <c r="L10" s="69"/>
      <c r="M10" s="70" t="s">
        <v>35</v>
      </c>
      <c r="N10" s="71">
        <f>N9*O8</f>
        <v>999.8057142857142</v>
      </c>
      <c r="O10" s="72" t="s">
        <v>34</v>
      </c>
      <c r="P10" s="28"/>
      <c r="Q10" s="73"/>
    </row>
    <row r="11" spans="1:17" ht="15.75" customHeight="1" thickBot="1" thickTop="1">
      <c r="A11" s="3"/>
      <c r="B11" s="17">
        <v>6</v>
      </c>
      <c r="C11" s="3"/>
      <c r="D11" s="74" t="s">
        <v>36</v>
      </c>
      <c r="E11" s="75"/>
      <c r="F11" s="30"/>
      <c r="G11" s="476">
        <v>1</v>
      </c>
      <c r="H11" s="63">
        <v>950</v>
      </c>
      <c r="I11" s="477">
        <f>H11*I6</f>
        <v>5320</v>
      </c>
      <c r="J11" s="297" t="s">
        <v>96</v>
      </c>
      <c r="K11" s="76"/>
      <c r="L11" s="279"/>
      <c r="M11" s="279"/>
      <c r="N11" s="279"/>
      <c r="O11" s="279"/>
      <c r="P11" s="3"/>
      <c r="Q11" s="73"/>
    </row>
    <row r="12" spans="1:17" ht="15.75" customHeight="1" thickBot="1">
      <c r="A12" s="3"/>
      <c r="B12" s="17">
        <v>7</v>
      </c>
      <c r="C12" s="3"/>
      <c r="D12" s="301" t="s">
        <v>37</v>
      </c>
      <c r="E12" s="77"/>
      <c r="F12" s="37"/>
      <c r="G12" s="78"/>
      <c r="H12" s="478">
        <f>SUM(H8:H11)</f>
        <v>1000</v>
      </c>
      <c r="I12" s="79">
        <f>SUM(I8:I11)</f>
        <v>5432</v>
      </c>
      <c r="J12" s="301" t="s">
        <v>81</v>
      </c>
      <c r="K12" s="37"/>
      <c r="L12" s="280"/>
      <c r="M12" s="280"/>
      <c r="N12" s="281">
        <f>I12/H12</f>
        <v>5.432</v>
      </c>
      <c r="O12" s="282" t="s">
        <v>82</v>
      </c>
      <c r="P12" s="28"/>
      <c r="Q12" s="73"/>
    </row>
    <row r="13" spans="1:17" ht="16.5" thickBot="1" thickTop="1">
      <c r="A13" s="3"/>
      <c r="B13" s="17">
        <v>8</v>
      </c>
      <c r="C13" s="1"/>
      <c r="D13" s="5" t="s">
        <v>83</v>
      </c>
      <c r="E13" s="5"/>
      <c r="F13" s="80"/>
      <c r="G13" s="81"/>
      <c r="H13" s="370">
        <v>1</v>
      </c>
      <c r="I13" s="82"/>
      <c r="J13" s="83">
        <v>13</v>
      </c>
      <c r="K13" s="84"/>
      <c r="L13" s="291" t="s">
        <v>84</v>
      </c>
      <c r="M13" s="283"/>
      <c r="N13" s="284"/>
      <c r="O13" s="86">
        <v>23.1</v>
      </c>
      <c r="P13" s="87"/>
      <c r="Q13" s="10"/>
    </row>
    <row r="14" spans="1:17" ht="16.5" thickBot="1" thickTop="1">
      <c r="A14" s="3"/>
      <c r="B14" s="17">
        <v>9</v>
      </c>
      <c r="C14" s="1"/>
      <c r="D14" s="1" t="s">
        <v>85</v>
      </c>
      <c r="E14" s="1"/>
      <c r="F14" s="88"/>
      <c r="G14" s="89"/>
      <c r="H14" s="90">
        <f>H12/H13</f>
        <v>1000</v>
      </c>
      <c r="I14" s="91"/>
      <c r="J14" s="92">
        <v>14</v>
      </c>
      <c r="K14" s="93"/>
      <c r="L14" s="292" t="s">
        <v>46</v>
      </c>
      <c r="M14" s="285"/>
      <c r="N14" s="286"/>
      <c r="O14" s="575">
        <v>0.954</v>
      </c>
      <c r="P14" s="87"/>
      <c r="Q14" s="10"/>
    </row>
    <row r="15" spans="1:17" ht="16.5" thickBot="1" thickTop="1">
      <c r="A15" s="3"/>
      <c r="B15" s="17">
        <v>10</v>
      </c>
      <c r="C15" s="1"/>
      <c r="D15" s="1" t="s">
        <v>86</v>
      </c>
      <c r="E15" s="1"/>
      <c r="F15" s="96"/>
      <c r="G15" s="97"/>
      <c r="H15" s="22">
        <v>12</v>
      </c>
      <c r="I15" s="98"/>
      <c r="J15" s="92">
        <v>15</v>
      </c>
      <c r="K15" s="93"/>
      <c r="L15" s="366" t="s">
        <v>22</v>
      </c>
      <c r="M15" s="287"/>
      <c r="N15" s="288"/>
      <c r="O15" s="575">
        <v>0.255</v>
      </c>
      <c r="P15" s="87"/>
      <c r="Q15" s="10"/>
    </row>
    <row r="16" spans="1:17" ht="16.5" thickBot="1" thickTop="1">
      <c r="A16" s="3"/>
      <c r="B16" s="76">
        <v>11</v>
      </c>
      <c r="C16" s="2"/>
      <c r="D16" s="2" t="s">
        <v>103</v>
      </c>
      <c r="E16" s="2"/>
      <c r="F16" s="100"/>
      <c r="G16" s="101">
        <v>0.33</v>
      </c>
      <c r="H16" s="102"/>
      <c r="I16" s="103"/>
      <c r="J16" s="104">
        <v>16</v>
      </c>
      <c r="K16" s="105"/>
      <c r="L16" s="367" t="s">
        <v>23</v>
      </c>
      <c r="M16" s="289"/>
      <c r="N16" s="290"/>
      <c r="O16" s="576">
        <v>0.35</v>
      </c>
      <c r="P16" s="106"/>
      <c r="Q16" s="10"/>
    </row>
    <row r="17" spans="1:17" ht="3" customHeight="1" thickBot="1">
      <c r="A17" s="1"/>
      <c r="B17" s="84"/>
      <c r="C17" s="5"/>
      <c r="D17" s="5"/>
      <c r="E17" s="5"/>
      <c r="F17" s="44"/>
      <c r="G17" s="44"/>
      <c r="H17" s="44"/>
      <c r="I17" s="323"/>
      <c r="J17" s="323"/>
      <c r="K17" s="323"/>
      <c r="L17" s="323"/>
      <c r="M17" s="323"/>
      <c r="N17" s="323"/>
      <c r="O17" s="323"/>
      <c r="P17" s="5"/>
      <c r="Q17" s="1"/>
    </row>
    <row r="18" spans="1:17" ht="15.75" thickBot="1">
      <c r="A18" s="107" t="s">
        <v>143</v>
      </c>
      <c r="B18" s="1"/>
      <c r="C18" s="1"/>
      <c r="D18" s="1"/>
      <c r="E18" s="3"/>
      <c r="F18" s="108" t="s">
        <v>144</v>
      </c>
      <c r="G18" s="109" t="s">
        <v>145</v>
      </c>
      <c r="H18" s="352" t="s">
        <v>146</v>
      </c>
      <c r="I18" s="329" t="s">
        <v>147</v>
      </c>
      <c r="J18" s="330" t="s">
        <v>148</v>
      </c>
      <c r="K18" s="330"/>
      <c r="L18" s="330" t="s">
        <v>149</v>
      </c>
      <c r="M18" s="330"/>
      <c r="N18" s="330" t="s">
        <v>150</v>
      </c>
      <c r="O18" s="357" t="s">
        <v>151</v>
      </c>
      <c r="P18" s="322"/>
      <c r="Q18" s="110"/>
    </row>
    <row r="19" spans="1:17" ht="16.5" thickBot="1" thickTop="1">
      <c r="A19" s="1"/>
      <c r="B19" s="93" t="s">
        <v>152</v>
      </c>
      <c r="C19" s="232" t="s">
        <v>153</v>
      </c>
      <c r="D19" s="232"/>
      <c r="E19" s="111" t="s">
        <v>154</v>
      </c>
      <c r="F19" s="21">
        <v>1</v>
      </c>
      <c r="G19" s="112">
        <f>I12</f>
        <v>5432</v>
      </c>
      <c r="H19" s="113">
        <f>H6</f>
        <v>1.8</v>
      </c>
      <c r="I19" s="353">
        <f>(J19*100)/N$12</f>
        <v>179.99999999999997</v>
      </c>
      <c r="J19" s="354">
        <f>N19/H$12</f>
        <v>9.7776</v>
      </c>
      <c r="K19" s="354"/>
      <c r="L19" s="355">
        <f>N19/H$13</f>
        <v>9777.6</v>
      </c>
      <c r="M19" s="355"/>
      <c r="N19" s="355">
        <f>H19*G19*F19</f>
        <v>9777.6</v>
      </c>
      <c r="O19" s="356">
        <f>N19/N$23</f>
        <v>1</v>
      </c>
      <c r="P19" s="10"/>
      <c r="Q19" s="114"/>
    </row>
    <row r="20" spans="1:17" ht="16.5" thickBot="1" thickTop="1">
      <c r="A20" s="1"/>
      <c r="B20" s="93" t="s">
        <v>155</v>
      </c>
      <c r="C20" s="232" t="s">
        <v>113</v>
      </c>
      <c r="D20" s="232"/>
      <c r="E20" s="111" t="s">
        <v>154</v>
      </c>
      <c r="F20" s="21">
        <v>0</v>
      </c>
      <c r="G20" s="115">
        <f>(F20*G19)/O15</f>
        <v>0</v>
      </c>
      <c r="H20" s="22">
        <v>0.1</v>
      </c>
      <c r="I20" s="116">
        <f>(J20*100)/N$12</f>
        <v>0</v>
      </c>
      <c r="J20" s="117">
        <f>N20/H$12</f>
        <v>0</v>
      </c>
      <c r="K20" s="118"/>
      <c r="L20" s="119">
        <f>N20/H$13</f>
        <v>0</v>
      </c>
      <c r="M20" s="119"/>
      <c r="N20" s="119">
        <f>G20*H20</f>
        <v>0</v>
      </c>
      <c r="O20" s="120">
        <f>N20/N$23</f>
        <v>0</v>
      </c>
      <c r="P20" s="10"/>
      <c r="Q20" s="114"/>
    </row>
    <row r="21" spans="1:17" ht="16.5" thickBot="1" thickTop="1">
      <c r="A21" s="1"/>
      <c r="B21" s="93" t="s">
        <v>114</v>
      </c>
      <c r="C21" s="232" t="s">
        <v>115</v>
      </c>
      <c r="D21" s="232"/>
      <c r="E21" s="121" t="s">
        <v>154</v>
      </c>
      <c r="F21" s="122">
        <f>1-(F19+F20)</f>
        <v>0</v>
      </c>
      <c r="G21" s="123">
        <f>F21*G19*O16</f>
        <v>0</v>
      </c>
      <c r="H21" s="22">
        <v>1.6</v>
      </c>
      <c r="I21" s="116">
        <f>(J21*100)/N$12</f>
        <v>0</v>
      </c>
      <c r="J21" s="117">
        <f>N21/H$12</f>
        <v>0</v>
      </c>
      <c r="K21" s="118"/>
      <c r="L21" s="119">
        <f>N21/H$13</f>
        <v>0</v>
      </c>
      <c r="M21" s="119"/>
      <c r="N21" s="124">
        <f>G21*H21</f>
        <v>0</v>
      </c>
      <c r="O21" s="120">
        <f>N21/N$23</f>
        <v>0</v>
      </c>
      <c r="P21" s="10"/>
      <c r="Q21" s="114"/>
    </row>
    <row r="22" spans="1:17" ht="16.5" thickBot="1" thickTop="1">
      <c r="A22" s="1"/>
      <c r="B22" s="359" t="s">
        <v>116</v>
      </c>
      <c r="C22" s="306" t="s">
        <v>24</v>
      </c>
      <c r="D22" s="306"/>
      <c r="E22" s="306"/>
      <c r="F22" s="323"/>
      <c r="G22" s="125"/>
      <c r="H22" s="126"/>
      <c r="I22" s="127">
        <f>(J22*100)/N12</f>
        <v>0</v>
      </c>
      <c r="J22" s="128">
        <f>N22/H12</f>
        <v>0</v>
      </c>
      <c r="K22" s="128"/>
      <c r="L22" s="181">
        <f>N22/H13</f>
        <v>0</v>
      </c>
      <c r="M22" s="511"/>
      <c r="N22" s="512">
        <v>0</v>
      </c>
      <c r="O22" s="129">
        <f>N22/N$23</f>
        <v>0</v>
      </c>
      <c r="P22" s="10"/>
      <c r="Q22" s="114"/>
    </row>
    <row r="23" spans="1:17" ht="15.75" thickTop="1">
      <c r="A23" s="321"/>
      <c r="B23" s="365"/>
      <c r="C23" s="361"/>
      <c r="D23" s="362"/>
      <c r="E23" s="363" t="s">
        <v>25</v>
      </c>
      <c r="F23" s="364">
        <f>I23/100</f>
        <v>1.7999999999999998</v>
      </c>
      <c r="G23" s="358"/>
      <c r="H23" s="130" t="s">
        <v>26</v>
      </c>
      <c r="I23" s="131">
        <f>SUM(I19:I22)</f>
        <v>179.99999999999997</v>
      </c>
      <c r="J23" s="132">
        <f>SUM(J19:J22)</f>
        <v>9.7776</v>
      </c>
      <c r="K23" s="133"/>
      <c r="L23" s="134">
        <f>SUM(L19:L22)</f>
        <v>9777.6</v>
      </c>
      <c r="M23" s="134"/>
      <c r="N23" s="135">
        <f>SUM(N19:N22)</f>
        <v>9777.6</v>
      </c>
      <c r="O23" s="136">
        <f>N23/N$23</f>
        <v>1</v>
      </c>
      <c r="P23" s="1"/>
      <c r="Q23" s="114"/>
    </row>
    <row r="24" spans="1:17" ht="16.5" customHeight="1" thickBot="1">
      <c r="A24" s="107" t="s">
        <v>27</v>
      </c>
      <c r="B24" s="360"/>
      <c r="C24" s="360"/>
      <c r="D24" s="360"/>
      <c r="E24" s="360"/>
      <c r="F24" s="360"/>
      <c r="G24" s="16"/>
      <c r="H24" s="2"/>
      <c r="I24" s="306"/>
      <c r="J24" s="306"/>
      <c r="K24" s="306"/>
      <c r="L24" s="349"/>
      <c r="M24" s="350"/>
      <c r="N24" s="350"/>
      <c r="O24" s="351"/>
      <c r="P24" s="1"/>
      <c r="Q24" s="137"/>
    </row>
    <row r="25" spans="1:17" ht="15.75" thickBot="1">
      <c r="A25" s="1"/>
      <c r="B25" s="93" t="s">
        <v>152</v>
      </c>
      <c r="C25" s="1" t="s">
        <v>68</v>
      </c>
      <c r="D25" s="1"/>
      <c r="E25" s="138"/>
      <c r="F25" s="139"/>
      <c r="G25" s="140" t="s">
        <v>69</v>
      </c>
      <c r="H25" s="344" t="s">
        <v>146</v>
      </c>
      <c r="I25" s="329" t="s">
        <v>147</v>
      </c>
      <c r="J25" s="330" t="s">
        <v>148</v>
      </c>
      <c r="K25" s="330"/>
      <c r="L25" s="331" t="s">
        <v>149</v>
      </c>
      <c r="M25" s="331"/>
      <c r="N25" s="331" t="s">
        <v>150</v>
      </c>
      <c r="O25" s="332" t="s">
        <v>151</v>
      </c>
      <c r="P25" s="1"/>
      <c r="Q25" s="110"/>
    </row>
    <row r="26" spans="1:17" ht="15.75" thickBot="1">
      <c r="A26" s="1"/>
      <c r="B26" s="1">
        <v>1</v>
      </c>
      <c r="C26" s="15"/>
      <c r="D26" s="141" t="s">
        <v>70</v>
      </c>
      <c r="E26" s="141"/>
      <c r="F26" s="141"/>
      <c r="G26" s="142"/>
      <c r="H26" s="143" t="s">
        <v>71</v>
      </c>
      <c r="I26" s="504">
        <f>SUM(I27:I29)</f>
        <v>33.06332842415316</v>
      </c>
      <c r="J26" s="493">
        <f>SUM(J27:J29)</f>
        <v>1.7959999999999998</v>
      </c>
      <c r="K26" s="493"/>
      <c r="L26" s="494">
        <f>SUM(L27:L29)</f>
        <v>1795.9999999999998</v>
      </c>
      <c r="M26" s="494"/>
      <c r="N26" s="494">
        <f>SUM(N27:N29)</f>
        <v>1795.9999999999998</v>
      </c>
      <c r="O26" s="328">
        <f>N26/N$23</f>
        <v>0.183685157911962</v>
      </c>
      <c r="P26" s="1"/>
      <c r="Q26" s="114"/>
    </row>
    <row r="27" spans="1:17" ht="16.5" thickBot="1" thickTop="1">
      <c r="A27" s="1"/>
      <c r="B27" s="1"/>
      <c r="C27" s="15"/>
      <c r="D27" s="94" t="s">
        <v>72</v>
      </c>
      <c r="E27" s="1"/>
      <c r="F27" s="99"/>
      <c r="G27" s="370">
        <v>1.4</v>
      </c>
      <c r="H27" s="22">
        <v>0.76</v>
      </c>
      <c r="I27" s="144">
        <f>(J27*100)/N$12</f>
        <v>19.587628865979376</v>
      </c>
      <c r="J27" s="145">
        <f>H27*G27</f>
        <v>1.0639999999999998</v>
      </c>
      <c r="K27" s="145"/>
      <c r="L27" s="146">
        <f>N27/H$13</f>
        <v>1063.9999999999998</v>
      </c>
      <c r="M27" s="146"/>
      <c r="N27" s="146">
        <f>(G27*H27)*H$12</f>
        <v>1063.9999999999998</v>
      </c>
      <c r="O27" s="147">
        <f>N27/N$23</f>
        <v>0.1088201603665521</v>
      </c>
      <c r="P27" s="148"/>
      <c r="Q27" s="137"/>
    </row>
    <row r="28" spans="1:17" ht="16.5" thickBot="1" thickTop="1">
      <c r="A28" s="1"/>
      <c r="B28" s="1"/>
      <c r="C28" s="15"/>
      <c r="D28" s="94" t="s">
        <v>73</v>
      </c>
      <c r="E28" s="1"/>
      <c r="F28" s="99"/>
      <c r="G28" s="370">
        <v>8</v>
      </c>
      <c r="H28" s="22">
        <v>25</v>
      </c>
      <c r="I28" s="116">
        <f>(J28*100)/N$12</f>
        <v>3.681885125184094</v>
      </c>
      <c r="J28" s="117">
        <f>L28/$H$14</f>
        <v>0.2</v>
      </c>
      <c r="K28" s="117"/>
      <c r="L28" s="119">
        <f>N28/H$13</f>
        <v>200</v>
      </c>
      <c r="M28" s="119"/>
      <c r="N28" s="119">
        <f>H28*G28</f>
        <v>200</v>
      </c>
      <c r="O28" s="149">
        <f>N28/N$23</f>
        <v>0.020454917362133857</v>
      </c>
      <c r="P28" s="148"/>
      <c r="Q28" s="137"/>
    </row>
    <row r="29" spans="1:17" ht="15" customHeight="1" thickBot="1" thickTop="1">
      <c r="A29" s="1"/>
      <c r="B29" s="1"/>
      <c r="C29" s="15"/>
      <c r="D29" s="501" t="s">
        <v>74</v>
      </c>
      <c r="E29" s="150"/>
      <c r="F29" s="151"/>
      <c r="G29" s="370">
        <v>2</v>
      </c>
      <c r="H29" s="152">
        <f>$H$15*(1+$G$16)</f>
        <v>15.96</v>
      </c>
      <c r="I29" s="153">
        <f>(J29*100)/N$12</f>
        <v>9.79381443298969</v>
      </c>
      <c r="J29" s="154">
        <f>L29/$H$14</f>
        <v>0.532</v>
      </c>
      <c r="K29" s="154"/>
      <c r="L29" s="155">
        <f>N29/H$13</f>
        <v>532</v>
      </c>
      <c r="M29" s="155"/>
      <c r="N29" s="155">
        <f>(G29/60)*H29*H$12</f>
        <v>532</v>
      </c>
      <c r="O29" s="156">
        <f>N29/N$23</f>
        <v>0.05441008018327606</v>
      </c>
      <c r="P29" s="148"/>
      <c r="Q29" s="137"/>
    </row>
    <row r="30" spans="1:17" ht="3" customHeight="1" thickTop="1">
      <c r="A30" s="1"/>
      <c r="B30" s="1"/>
      <c r="C30" s="15"/>
      <c r="D30" s="150"/>
      <c r="E30" s="150"/>
      <c r="F30" s="150"/>
      <c r="G30" s="157"/>
      <c r="H30" s="158"/>
      <c r="I30" s="159"/>
      <c r="J30" s="158"/>
      <c r="K30" s="158"/>
      <c r="L30" s="160"/>
      <c r="M30" s="160"/>
      <c r="N30" s="160"/>
      <c r="O30" s="161"/>
      <c r="P30" s="1"/>
      <c r="Q30" s="137"/>
    </row>
    <row r="31" spans="1:17" ht="15.75" thickBot="1">
      <c r="A31" s="1"/>
      <c r="B31" s="1">
        <v>2</v>
      </c>
      <c r="C31" s="1"/>
      <c r="D31" s="141" t="s">
        <v>75</v>
      </c>
      <c r="E31" s="141"/>
      <c r="F31" s="141"/>
      <c r="G31" s="162"/>
      <c r="H31" s="163" t="s">
        <v>76</v>
      </c>
      <c r="I31" s="495">
        <f>SUM(I32:I34)</f>
        <v>16.3659793814433</v>
      </c>
      <c r="J31" s="496">
        <f>SUM(J32:J34)</f>
        <v>0.889</v>
      </c>
      <c r="K31" s="496"/>
      <c r="L31" s="498">
        <f>SUM(L32:L34)</f>
        <v>889</v>
      </c>
      <c r="M31" s="498"/>
      <c r="N31" s="498">
        <f>SUM(N32:N34)</f>
        <v>889</v>
      </c>
      <c r="O31" s="164">
        <f>N31/N$23</f>
        <v>0.09092210767468499</v>
      </c>
      <c r="P31" s="1"/>
      <c r="Q31" s="114"/>
    </row>
    <row r="32" spans="1:17" ht="16.5" thickBot="1" thickTop="1">
      <c r="A32" s="1"/>
      <c r="B32" s="1"/>
      <c r="C32" s="1"/>
      <c r="D32" s="94" t="s">
        <v>77</v>
      </c>
      <c r="E32" s="1"/>
      <c r="F32" s="99"/>
      <c r="G32" s="63">
        <v>245</v>
      </c>
      <c r="H32" s="22">
        <v>2</v>
      </c>
      <c r="I32" s="144">
        <f>(J32*100)/N$12</f>
        <v>9.02061855670103</v>
      </c>
      <c r="J32" s="165">
        <f>L32/$H$14</f>
        <v>0.49</v>
      </c>
      <c r="K32" s="165"/>
      <c r="L32" s="146">
        <f>N32/$H$13</f>
        <v>490</v>
      </c>
      <c r="M32" s="146"/>
      <c r="N32" s="146">
        <f>H32*G32</f>
        <v>490</v>
      </c>
      <c r="O32" s="147">
        <f>N32/N$23</f>
        <v>0.050114547537227945</v>
      </c>
      <c r="P32" s="148"/>
      <c r="Q32" s="137"/>
    </row>
    <row r="33" spans="1:17" ht="16.5" thickBot="1" thickTop="1">
      <c r="A33" s="1"/>
      <c r="B33" s="1"/>
      <c r="C33" s="1"/>
      <c r="D33" s="501" t="s">
        <v>78</v>
      </c>
      <c r="E33" s="150"/>
      <c r="F33" s="151"/>
      <c r="G33" s="370">
        <v>0</v>
      </c>
      <c r="H33" s="22">
        <v>0</v>
      </c>
      <c r="I33" s="116">
        <f>(J33*100)/N$12</f>
        <v>0</v>
      </c>
      <c r="J33" s="118">
        <f>L33/$H$14</f>
        <v>0</v>
      </c>
      <c r="K33" s="118"/>
      <c r="L33" s="119">
        <f>N33/$H$13</f>
        <v>0</v>
      </c>
      <c r="M33" s="119"/>
      <c r="N33" s="119">
        <f>H33*G33</f>
        <v>0</v>
      </c>
      <c r="O33" s="149">
        <f>N33/N$23</f>
        <v>0</v>
      </c>
      <c r="P33" s="148"/>
      <c r="Q33" s="137"/>
    </row>
    <row r="34" spans="1:17" ht="16.5" thickBot="1" thickTop="1">
      <c r="A34" s="1"/>
      <c r="B34" s="1"/>
      <c r="C34" s="1"/>
      <c r="D34" s="501" t="s">
        <v>47</v>
      </c>
      <c r="E34" s="150"/>
      <c r="F34" s="151"/>
      <c r="G34" s="370">
        <v>25</v>
      </c>
      <c r="H34" s="152">
        <f>$H$15*(1+$G$16)</f>
        <v>15.96</v>
      </c>
      <c r="I34" s="153">
        <f>(J34*100)/N$12</f>
        <v>7.345360824742269</v>
      </c>
      <c r="J34" s="314">
        <f>L34/$H$14</f>
        <v>0.399</v>
      </c>
      <c r="K34" s="314"/>
      <c r="L34" s="311">
        <f>N34/$H$13</f>
        <v>399</v>
      </c>
      <c r="M34" s="155"/>
      <c r="N34" s="311">
        <f>H34*G34</f>
        <v>399</v>
      </c>
      <c r="O34" s="156">
        <f>N34/N$23</f>
        <v>0.040807560137457045</v>
      </c>
      <c r="P34" s="148"/>
      <c r="Q34" s="137"/>
    </row>
    <row r="35" spans="1:17" ht="3" customHeight="1" thickTop="1">
      <c r="A35" s="1"/>
      <c r="B35" s="1"/>
      <c r="C35" s="1"/>
      <c r="D35" s="150"/>
      <c r="E35" s="150"/>
      <c r="F35" s="150"/>
      <c r="G35" s="167"/>
      <c r="H35" s="158"/>
      <c r="I35" s="313"/>
      <c r="J35" s="315"/>
      <c r="K35" s="315"/>
      <c r="L35" s="316"/>
      <c r="M35" s="317"/>
      <c r="N35" s="319"/>
      <c r="O35" s="318"/>
      <c r="P35" s="1"/>
      <c r="Q35" s="137"/>
    </row>
    <row r="36" spans="1:17" ht="15.75" thickBot="1">
      <c r="A36" s="1"/>
      <c r="B36" s="1">
        <v>3</v>
      </c>
      <c r="C36" s="1"/>
      <c r="D36" s="141" t="s">
        <v>48</v>
      </c>
      <c r="E36" s="141"/>
      <c r="F36" s="141"/>
      <c r="G36" s="162"/>
      <c r="H36" s="163" t="s">
        <v>49</v>
      </c>
      <c r="I36" s="495">
        <f>SUM(I37:I39)</f>
        <v>0</v>
      </c>
      <c r="J36" s="493">
        <f>SUM(J37:J39)</f>
        <v>0</v>
      </c>
      <c r="K36" s="493"/>
      <c r="L36" s="494">
        <f>SUM(L37:L39)</f>
        <v>0</v>
      </c>
      <c r="M36" s="498"/>
      <c r="N36" s="494">
        <f>SUM(N37:N39)</f>
        <v>0</v>
      </c>
      <c r="O36" s="164">
        <f>N36/N$23</f>
        <v>0</v>
      </c>
      <c r="P36" s="1"/>
      <c r="Q36" s="114"/>
    </row>
    <row r="37" spans="1:17" ht="16.5" thickBot="1" thickTop="1">
      <c r="A37" s="1"/>
      <c r="B37" s="1"/>
      <c r="C37" s="1"/>
      <c r="D37" s="94" t="s">
        <v>50</v>
      </c>
      <c r="E37" s="1"/>
      <c r="F37" s="99"/>
      <c r="G37" s="370">
        <v>0</v>
      </c>
      <c r="H37" s="22">
        <v>10</v>
      </c>
      <c r="I37" s="144">
        <f>(J37*100)/N$12</f>
        <v>0</v>
      </c>
      <c r="J37" s="165">
        <f>L37/$H$14</f>
        <v>0</v>
      </c>
      <c r="K37" s="165"/>
      <c r="L37" s="146">
        <f>N37/$H$13</f>
        <v>0</v>
      </c>
      <c r="M37" s="146"/>
      <c r="N37" s="146">
        <f>H37*G37</f>
        <v>0</v>
      </c>
      <c r="O37" s="147">
        <f>N37/N$23</f>
        <v>0</v>
      </c>
      <c r="P37" s="148"/>
      <c r="Q37" s="114"/>
    </row>
    <row r="38" spans="1:17" ht="16.5" thickBot="1" thickTop="1">
      <c r="A38" s="1"/>
      <c r="B38" s="1"/>
      <c r="C38" s="1"/>
      <c r="D38" s="94" t="s">
        <v>104</v>
      </c>
      <c r="E38" s="1"/>
      <c r="F38" s="99"/>
      <c r="G38" s="370">
        <v>0</v>
      </c>
      <c r="H38" s="22">
        <v>10</v>
      </c>
      <c r="I38" s="116">
        <f>(J38*100)/N$12</f>
        <v>0</v>
      </c>
      <c r="J38" s="118">
        <f>L38/$H$14</f>
        <v>0</v>
      </c>
      <c r="K38" s="118"/>
      <c r="L38" s="119">
        <f>N38/$H$13</f>
        <v>0</v>
      </c>
      <c r="M38" s="119"/>
      <c r="N38" s="119">
        <f>H38*G38</f>
        <v>0</v>
      </c>
      <c r="O38" s="149">
        <f>N38/N$23</f>
        <v>0</v>
      </c>
      <c r="P38" s="148"/>
      <c r="Q38" s="137"/>
    </row>
    <row r="39" spans="1:17" ht="16.5" thickBot="1" thickTop="1">
      <c r="A39" s="1"/>
      <c r="B39" s="1"/>
      <c r="C39" s="1"/>
      <c r="D39" s="501" t="s">
        <v>105</v>
      </c>
      <c r="E39" s="150"/>
      <c r="F39" s="151"/>
      <c r="G39" s="370">
        <v>0</v>
      </c>
      <c r="H39" s="152">
        <f>$H$15*(1+$G$16)</f>
        <v>15.96</v>
      </c>
      <c r="I39" s="153">
        <f>(J39*100)/N$12</f>
        <v>0</v>
      </c>
      <c r="J39" s="166">
        <f>(G39/60)*H39</f>
        <v>0</v>
      </c>
      <c r="K39" s="166"/>
      <c r="L39" s="155">
        <f>N39/H$13</f>
        <v>0</v>
      </c>
      <c r="M39" s="155"/>
      <c r="N39" s="155">
        <f>(G39/60)*H39*H$12</f>
        <v>0</v>
      </c>
      <c r="O39" s="156">
        <f>N39/N$23</f>
        <v>0</v>
      </c>
      <c r="P39" s="148"/>
      <c r="Q39" s="137"/>
    </row>
    <row r="40" spans="1:17" ht="3" customHeight="1" thickTop="1">
      <c r="A40" s="1"/>
      <c r="B40" s="1"/>
      <c r="C40" s="1"/>
      <c r="D40" s="150"/>
      <c r="E40" s="150"/>
      <c r="F40" s="150"/>
      <c r="G40" s="167"/>
      <c r="H40" s="171"/>
      <c r="I40" s="168"/>
      <c r="J40" s="158"/>
      <c r="K40" s="158"/>
      <c r="L40" s="160"/>
      <c r="M40" s="160"/>
      <c r="N40" s="169"/>
      <c r="O40" s="170"/>
      <c r="P40" s="1"/>
      <c r="Q40" s="137"/>
    </row>
    <row r="41" spans="1:17" ht="15.75" thickBot="1">
      <c r="A41" s="1"/>
      <c r="B41" s="1">
        <v>4</v>
      </c>
      <c r="C41" s="1"/>
      <c r="D41" s="141" t="s">
        <v>106</v>
      </c>
      <c r="E41" s="141"/>
      <c r="F41" s="141"/>
      <c r="G41" s="162"/>
      <c r="H41" s="163" t="s">
        <v>107</v>
      </c>
      <c r="I41" s="495">
        <f>SUM(I42:I44)</f>
        <v>6.369661266568483</v>
      </c>
      <c r="J41" s="502">
        <f>SUM(J42:J44)</f>
        <v>0.34600000000000003</v>
      </c>
      <c r="K41" s="503"/>
      <c r="L41" s="498">
        <f>SUM(L42:L44)</f>
        <v>346</v>
      </c>
      <c r="M41" s="498"/>
      <c r="N41" s="498">
        <f>SUM(N42:N44)</f>
        <v>346</v>
      </c>
      <c r="O41" s="164">
        <f>N41/N$23</f>
        <v>0.03538700703649157</v>
      </c>
      <c r="P41" s="1"/>
      <c r="Q41" s="114"/>
    </row>
    <row r="42" spans="1:17" ht="16.5" thickBot="1" thickTop="1">
      <c r="A42" s="1"/>
      <c r="B42" s="1"/>
      <c r="C42" s="1"/>
      <c r="D42" s="94" t="s">
        <v>50</v>
      </c>
      <c r="E42" s="1"/>
      <c r="F42" s="99"/>
      <c r="G42" s="370">
        <v>0</v>
      </c>
      <c r="H42" s="22">
        <v>2</v>
      </c>
      <c r="I42" s="144">
        <f>(J42*100)/N$12</f>
        <v>0</v>
      </c>
      <c r="J42" s="165">
        <f>L42/$H$14</f>
        <v>0</v>
      </c>
      <c r="K42" s="165"/>
      <c r="L42" s="146">
        <f>N42/$H$13</f>
        <v>0</v>
      </c>
      <c r="M42" s="146"/>
      <c r="N42" s="160">
        <f>H42*G42</f>
        <v>0</v>
      </c>
      <c r="O42" s="147">
        <f>N42/N$23</f>
        <v>0</v>
      </c>
      <c r="P42" s="148"/>
      <c r="Q42" s="137"/>
    </row>
    <row r="43" spans="1:17" ht="16.5" thickBot="1" thickTop="1">
      <c r="A43" s="1"/>
      <c r="B43" s="1"/>
      <c r="C43" s="1"/>
      <c r="D43" s="94" t="s">
        <v>104</v>
      </c>
      <c r="E43" s="1"/>
      <c r="F43" s="99"/>
      <c r="G43" s="370">
        <v>8</v>
      </c>
      <c r="H43" s="22">
        <v>10</v>
      </c>
      <c r="I43" s="116">
        <f>(J43*100)/N$12</f>
        <v>1.4727540500736376</v>
      </c>
      <c r="J43" s="118">
        <f>L43/$H$14</f>
        <v>0.08</v>
      </c>
      <c r="K43" s="118"/>
      <c r="L43" s="119">
        <f>N43/$H$13</f>
        <v>80</v>
      </c>
      <c r="M43" s="119"/>
      <c r="N43" s="119">
        <f>H43*G43</f>
        <v>80</v>
      </c>
      <c r="O43" s="149">
        <f>N43/N$23</f>
        <v>0.008181966944853543</v>
      </c>
      <c r="P43" s="148"/>
      <c r="Q43" s="137"/>
    </row>
    <row r="44" spans="1:17" ht="16.5" thickBot="1" thickTop="1">
      <c r="A44" s="1"/>
      <c r="B44" s="1"/>
      <c r="C44" s="1"/>
      <c r="D44" s="501" t="s">
        <v>105</v>
      </c>
      <c r="E44" s="150"/>
      <c r="F44" s="151"/>
      <c r="G44" s="370">
        <v>1</v>
      </c>
      <c r="H44" s="152">
        <f>$H$15*(1+$G$16)</f>
        <v>15.96</v>
      </c>
      <c r="I44" s="153">
        <f>(J44*100)/N$12</f>
        <v>4.896907216494845</v>
      </c>
      <c r="J44" s="166">
        <f>(G44/60)*H44</f>
        <v>0.266</v>
      </c>
      <c r="K44" s="166"/>
      <c r="L44" s="155">
        <f>N44/H$13</f>
        <v>266</v>
      </c>
      <c r="M44" s="155"/>
      <c r="N44" s="155">
        <f>(G44/60)*H44*H$12</f>
        <v>266</v>
      </c>
      <c r="O44" s="156">
        <f>N44/N$23</f>
        <v>0.02720504009163803</v>
      </c>
      <c r="P44" s="148"/>
      <c r="Q44" s="137"/>
    </row>
    <row r="45" spans="1:17" ht="3" customHeight="1" thickTop="1">
      <c r="A45" s="1"/>
      <c r="B45" s="1"/>
      <c r="C45" s="1"/>
      <c r="D45" s="150"/>
      <c r="E45" s="150"/>
      <c r="F45" s="150"/>
      <c r="G45" s="167"/>
      <c r="H45" s="158"/>
      <c r="I45" s="168"/>
      <c r="J45" s="158"/>
      <c r="K45" s="158"/>
      <c r="L45" s="160"/>
      <c r="M45" s="160"/>
      <c r="N45" s="169"/>
      <c r="O45" s="170"/>
      <c r="P45" s="1"/>
      <c r="Q45" s="137"/>
    </row>
    <row r="46" spans="1:17" ht="15.75" thickBot="1">
      <c r="A46" s="1"/>
      <c r="B46" s="1">
        <v>5</v>
      </c>
      <c r="C46" s="1"/>
      <c r="D46" s="141" t="s">
        <v>108</v>
      </c>
      <c r="E46" s="141"/>
      <c r="F46" s="141"/>
      <c r="G46" s="162"/>
      <c r="H46" s="172" t="s">
        <v>109</v>
      </c>
      <c r="I46" s="495">
        <f>I47+I48</f>
        <v>10.283505154639176</v>
      </c>
      <c r="J46" s="496">
        <f>J47+J48</f>
        <v>0.5586000000000001</v>
      </c>
      <c r="K46" s="496"/>
      <c r="L46" s="498">
        <f>L47+L48</f>
        <v>558.6000000000001</v>
      </c>
      <c r="M46" s="498"/>
      <c r="N46" s="498">
        <f>N47+N48</f>
        <v>558.6000000000001</v>
      </c>
      <c r="O46" s="164">
        <f>N46/N$23</f>
        <v>0.057130584192439875</v>
      </c>
      <c r="P46" s="1"/>
      <c r="Q46" s="114"/>
    </row>
    <row r="47" spans="1:17" ht="13.5" customHeight="1" thickBot="1" thickTop="1">
      <c r="A47" s="1"/>
      <c r="B47" s="1"/>
      <c r="C47" s="1"/>
      <c r="D47" s="94" t="s">
        <v>104</v>
      </c>
      <c r="E47" s="1"/>
      <c r="F47" s="99"/>
      <c r="G47" s="370">
        <v>0</v>
      </c>
      <c r="H47" s="22">
        <v>5</v>
      </c>
      <c r="I47" s="144">
        <f>(J47*100)/N$12</f>
        <v>0</v>
      </c>
      <c r="J47" s="165">
        <f>L47/$H$14</f>
        <v>0</v>
      </c>
      <c r="K47" s="165"/>
      <c r="L47" s="146">
        <f>N47/$H$13</f>
        <v>0</v>
      </c>
      <c r="M47" s="146"/>
      <c r="N47" s="146">
        <f>H47*G47</f>
        <v>0</v>
      </c>
      <c r="O47" s="147">
        <f>N47/N$23</f>
        <v>0</v>
      </c>
      <c r="P47" s="148"/>
      <c r="Q47" s="114"/>
    </row>
    <row r="48" spans="1:17" ht="16.5" thickBot="1" thickTop="1">
      <c r="A48" s="1"/>
      <c r="B48" s="1"/>
      <c r="C48" s="1"/>
      <c r="D48" s="501" t="s">
        <v>105</v>
      </c>
      <c r="E48" s="150"/>
      <c r="F48" s="151"/>
      <c r="G48" s="370">
        <v>2.1</v>
      </c>
      <c r="H48" s="152">
        <f>$H$15*(1+$G$16)</f>
        <v>15.96</v>
      </c>
      <c r="I48" s="153">
        <f>(J48*100)/N$12</f>
        <v>10.283505154639176</v>
      </c>
      <c r="J48" s="166">
        <f>(G48/60)*H48</f>
        <v>0.5586000000000001</v>
      </c>
      <c r="K48" s="166"/>
      <c r="L48" s="155">
        <f>N48/H$13</f>
        <v>558.6000000000001</v>
      </c>
      <c r="M48" s="155"/>
      <c r="N48" s="155">
        <f>(G48/60)*H48*H$12</f>
        <v>558.6000000000001</v>
      </c>
      <c r="O48" s="156">
        <f>N48/N$23</f>
        <v>0.057130584192439875</v>
      </c>
      <c r="P48" s="148"/>
      <c r="Q48" s="114"/>
    </row>
    <row r="49" spans="1:17" ht="3" customHeight="1" thickBot="1" thickTop="1">
      <c r="A49" s="1"/>
      <c r="B49" s="1"/>
      <c r="C49" s="1"/>
      <c r="D49" s="150"/>
      <c r="E49" s="150"/>
      <c r="F49" s="150"/>
      <c r="G49" s="173"/>
      <c r="H49" s="174"/>
      <c r="I49" s="345"/>
      <c r="J49" s="346"/>
      <c r="K49" s="346"/>
      <c r="L49" s="347"/>
      <c r="M49" s="347"/>
      <c r="N49" s="347"/>
      <c r="O49" s="348"/>
      <c r="P49" s="1"/>
      <c r="Q49" s="114"/>
    </row>
    <row r="50" spans="1:17" ht="15.75" customHeight="1" thickBot="1">
      <c r="A50" s="1"/>
      <c r="B50" s="93" t="s">
        <v>110</v>
      </c>
      <c r="C50" s="1" t="s">
        <v>111</v>
      </c>
      <c r="D50" s="138"/>
      <c r="E50" s="138"/>
      <c r="F50" s="139"/>
      <c r="G50" s="140" t="s">
        <v>69</v>
      </c>
      <c r="H50" s="344" t="s">
        <v>146</v>
      </c>
      <c r="I50" s="329" t="s">
        <v>147</v>
      </c>
      <c r="J50" s="330" t="s">
        <v>148</v>
      </c>
      <c r="K50" s="330"/>
      <c r="L50" s="331" t="s">
        <v>149</v>
      </c>
      <c r="M50" s="331"/>
      <c r="N50" s="331" t="s">
        <v>150</v>
      </c>
      <c r="O50" s="332" t="s">
        <v>151</v>
      </c>
      <c r="P50" s="1"/>
      <c r="Q50" s="114"/>
    </row>
    <row r="51" spans="1:17" ht="15.75" thickBot="1">
      <c r="A51" s="1"/>
      <c r="B51" s="1">
        <v>6</v>
      </c>
      <c r="C51" s="1"/>
      <c r="D51" s="141" t="s">
        <v>44</v>
      </c>
      <c r="E51" s="141"/>
      <c r="F51" s="141"/>
      <c r="G51" s="175"/>
      <c r="H51" s="176" t="s">
        <v>42</v>
      </c>
      <c r="I51" s="504">
        <f>SUM(I52:I54)</f>
        <v>0</v>
      </c>
      <c r="J51" s="493">
        <f>SUM(J52:J54)</f>
        <v>0</v>
      </c>
      <c r="K51" s="493"/>
      <c r="L51" s="494">
        <f>SUM(L52:L54)</f>
        <v>0</v>
      </c>
      <c r="M51" s="505"/>
      <c r="N51" s="494">
        <f>SUM(N52:N54)</f>
        <v>0</v>
      </c>
      <c r="O51" s="328">
        <f>N51/N$23</f>
        <v>0</v>
      </c>
      <c r="P51" s="1"/>
      <c r="Q51" s="114"/>
    </row>
    <row r="52" spans="1:17" ht="16.5" thickBot="1" thickTop="1">
      <c r="A52" s="1"/>
      <c r="B52" s="1"/>
      <c r="C52" s="1"/>
      <c r="D52" s="94" t="s">
        <v>50</v>
      </c>
      <c r="E52" s="1"/>
      <c r="F52" s="99"/>
      <c r="G52" s="370">
        <v>0</v>
      </c>
      <c r="H52" s="22">
        <v>3</v>
      </c>
      <c r="I52" s="144">
        <f>(J52*100)/N$12</f>
        <v>0</v>
      </c>
      <c r="J52" s="165">
        <f>L52/$H$14</f>
        <v>0</v>
      </c>
      <c r="K52" s="165"/>
      <c r="L52" s="146">
        <f>N52/$H$13</f>
        <v>0</v>
      </c>
      <c r="M52" s="146"/>
      <c r="N52" s="146">
        <f>H52*G52</f>
        <v>0</v>
      </c>
      <c r="O52" s="147">
        <f>N52/N$23</f>
        <v>0</v>
      </c>
      <c r="P52" s="148"/>
      <c r="Q52" s="114"/>
    </row>
    <row r="53" spans="1:17" ht="16.5" thickBot="1" thickTop="1">
      <c r="A53" s="1"/>
      <c r="B53" s="1"/>
      <c r="C53" s="1"/>
      <c r="D53" s="94" t="s">
        <v>104</v>
      </c>
      <c r="E53" s="1"/>
      <c r="F53" s="99"/>
      <c r="G53" s="370">
        <v>0</v>
      </c>
      <c r="H53" s="22">
        <v>10</v>
      </c>
      <c r="I53" s="116">
        <f>(J53*100)/N$12</f>
        <v>0</v>
      </c>
      <c r="J53" s="118">
        <f>L53/$H$14</f>
        <v>0</v>
      </c>
      <c r="K53" s="118"/>
      <c r="L53" s="119">
        <f>N53/$H$13</f>
        <v>0</v>
      </c>
      <c r="M53" s="119"/>
      <c r="N53" s="119">
        <f>H53*G53</f>
        <v>0</v>
      </c>
      <c r="O53" s="149">
        <f>N53/N$23</f>
        <v>0</v>
      </c>
      <c r="P53" s="148"/>
      <c r="Q53" s="137"/>
    </row>
    <row r="54" spans="1:17" ht="16.5" thickBot="1" thickTop="1">
      <c r="A54" s="1"/>
      <c r="B54" s="1"/>
      <c r="C54" s="1"/>
      <c r="D54" s="501" t="s">
        <v>105</v>
      </c>
      <c r="E54" s="150"/>
      <c r="F54" s="151"/>
      <c r="G54" s="370">
        <v>0</v>
      </c>
      <c r="H54" s="152">
        <f>$H$15*(1+$G$16)</f>
        <v>15.96</v>
      </c>
      <c r="I54" s="153">
        <f>(J54*100)/N$12</f>
        <v>0</v>
      </c>
      <c r="J54" s="166">
        <f>(G54/60)*H54</f>
        <v>0</v>
      </c>
      <c r="K54" s="166"/>
      <c r="L54" s="311">
        <f>N54/H$13</f>
        <v>0</v>
      </c>
      <c r="M54" s="155"/>
      <c r="N54" s="155">
        <f>(G54/60)*H54*H$12</f>
        <v>0</v>
      </c>
      <c r="O54" s="156">
        <f>N54/N$23</f>
        <v>0</v>
      </c>
      <c r="P54" s="148"/>
      <c r="Q54" s="137"/>
    </row>
    <row r="55" spans="1:17" ht="9" customHeight="1" thickTop="1">
      <c r="A55" s="1"/>
      <c r="B55" s="1"/>
      <c r="C55" s="1"/>
      <c r="D55" s="150"/>
      <c r="E55" s="150"/>
      <c r="F55" s="150"/>
      <c r="G55" s="177"/>
      <c r="H55" s="158"/>
      <c r="I55" s="168"/>
      <c r="J55" s="158"/>
      <c r="K55" s="309"/>
      <c r="L55" s="312"/>
      <c r="M55" s="310"/>
      <c r="N55" s="169"/>
      <c r="O55" s="170"/>
      <c r="P55" s="1"/>
      <c r="Q55" s="137"/>
    </row>
    <row r="56" spans="1:17" ht="15.75" thickBot="1">
      <c r="A56" s="1"/>
      <c r="B56" s="1">
        <v>7</v>
      </c>
      <c r="C56" s="1"/>
      <c r="D56" s="141" t="s">
        <v>112</v>
      </c>
      <c r="E56" s="141"/>
      <c r="F56" s="141"/>
      <c r="G56" s="178"/>
      <c r="H56" s="172" t="s">
        <v>52</v>
      </c>
      <c r="I56" s="495">
        <f>SUM(I57:I59)</f>
        <v>0</v>
      </c>
      <c r="J56" s="496">
        <f>SUM(J58:J59)</f>
        <v>0</v>
      </c>
      <c r="K56" s="496"/>
      <c r="L56" s="494">
        <f>SUM(L57:L59)</f>
        <v>0</v>
      </c>
      <c r="M56" s="496"/>
      <c r="N56" s="494">
        <f>SUM(N57:N59)</f>
        <v>0</v>
      </c>
      <c r="O56" s="164">
        <f>N56/N$23</f>
        <v>0</v>
      </c>
      <c r="P56" s="1"/>
      <c r="Q56" s="114"/>
    </row>
    <row r="57" spans="1:17" ht="16.5" thickBot="1" thickTop="1">
      <c r="A57" s="1"/>
      <c r="B57" s="1"/>
      <c r="C57" s="1"/>
      <c r="D57" s="94" t="s">
        <v>53</v>
      </c>
      <c r="E57" s="1"/>
      <c r="F57" s="99"/>
      <c r="G57" s="370">
        <v>0</v>
      </c>
      <c r="H57" s="22">
        <v>0</v>
      </c>
      <c r="I57" s="144">
        <f>(J57*100)/N$12</f>
        <v>0</v>
      </c>
      <c r="J57" s="165">
        <f>L57/$H$14</f>
        <v>0</v>
      </c>
      <c r="K57" s="165"/>
      <c r="L57" s="146">
        <f>N57/$H$13</f>
        <v>0</v>
      </c>
      <c r="M57" s="146"/>
      <c r="N57" s="146">
        <f>H57*G57</f>
        <v>0</v>
      </c>
      <c r="O57" s="147">
        <f>N57/N$23</f>
        <v>0</v>
      </c>
      <c r="P57" s="148"/>
      <c r="Q57" s="114"/>
    </row>
    <row r="58" spans="1:17" ht="16.5" thickBot="1" thickTop="1">
      <c r="A58" s="1"/>
      <c r="B58" s="1"/>
      <c r="C58" s="1"/>
      <c r="D58" s="94" t="s">
        <v>164</v>
      </c>
      <c r="E58" s="1"/>
      <c r="F58" s="99"/>
      <c r="G58" s="370">
        <v>0</v>
      </c>
      <c r="H58" s="22">
        <v>10</v>
      </c>
      <c r="I58" s="116">
        <f>(J58*100)/N$12</f>
        <v>0</v>
      </c>
      <c r="J58" s="118">
        <f>L58/$H$14</f>
        <v>0</v>
      </c>
      <c r="K58" s="118"/>
      <c r="L58" s="119">
        <f>N58/$H$13</f>
        <v>0</v>
      </c>
      <c r="M58" s="119"/>
      <c r="N58" s="119">
        <f>H58*G58</f>
        <v>0</v>
      </c>
      <c r="O58" s="149">
        <f>N58/N$23</f>
        <v>0</v>
      </c>
      <c r="P58" s="148"/>
      <c r="Q58" s="137"/>
    </row>
    <row r="59" spans="1:17" ht="16.5" thickBot="1" thickTop="1">
      <c r="A59" s="1"/>
      <c r="B59" s="1"/>
      <c r="C59" s="1"/>
      <c r="D59" s="501" t="s">
        <v>105</v>
      </c>
      <c r="E59" s="150"/>
      <c r="F59" s="151"/>
      <c r="G59" s="370">
        <v>0</v>
      </c>
      <c r="H59" s="152">
        <f>$H$15*(1+$G$16)</f>
        <v>15.96</v>
      </c>
      <c r="I59" s="179">
        <f>(J59*100)/N$12</f>
        <v>0</v>
      </c>
      <c r="J59" s="180">
        <f>(G59/60)*H59</f>
        <v>0</v>
      </c>
      <c r="K59" s="180"/>
      <c r="L59" s="181">
        <f>N59/H$13</f>
        <v>0</v>
      </c>
      <c r="M59" s="181"/>
      <c r="N59" s="181">
        <f>(G59/60)*H59*H$12</f>
        <v>0</v>
      </c>
      <c r="O59" s="182">
        <f>N59/N$23</f>
        <v>0</v>
      </c>
      <c r="P59" s="148"/>
      <c r="Q59" s="137"/>
    </row>
    <row r="60" spans="1:17" ht="9" customHeight="1" thickBot="1" thickTop="1">
      <c r="A60" s="1"/>
      <c r="B60" s="1"/>
      <c r="C60" s="1"/>
      <c r="D60" s="1"/>
      <c r="E60" s="1"/>
      <c r="F60" s="1"/>
      <c r="G60" s="183"/>
      <c r="H60" s="11"/>
      <c r="I60" s="5"/>
      <c r="J60" s="5"/>
      <c r="K60" s="5"/>
      <c r="L60" s="5"/>
      <c r="M60" s="5"/>
      <c r="N60" s="5"/>
      <c r="O60" s="5"/>
      <c r="P60" s="1"/>
      <c r="Q60" s="1"/>
    </row>
    <row r="61" spans="1:17" ht="12.75" customHeight="1" thickBot="1" thickTop="1">
      <c r="A61" s="1"/>
      <c r="B61" s="94">
        <v>8</v>
      </c>
      <c r="C61" s="1"/>
      <c r="D61" s="1" t="s">
        <v>160</v>
      </c>
      <c r="E61" s="1"/>
      <c r="F61" s="321"/>
      <c r="G61" s="472" t="s">
        <v>161</v>
      </c>
      <c r="H61" s="379"/>
      <c r="I61" s="474">
        <f>(J61*100)/N$12</f>
        <v>0</v>
      </c>
      <c r="J61" s="190">
        <f>L61/H$12</f>
        <v>0</v>
      </c>
      <c r="K61" s="197"/>
      <c r="L61" s="192">
        <f>N61/H13</f>
        <v>0</v>
      </c>
      <c r="M61" s="207"/>
      <c r="N61" s="63">
        <v>0</v>
      </c>
      <c r="O61" s="194">
        <f>N61/N$23</f>
        <v>0</v>
      </c>
      <c r="P61" s="1"/>
      <c r="Q61" s="1"/>
    </row>
    <row r="62" spans="1:17" ht="3.75" customHeight="1" thickBot="1" thickTop="1">
      <c r="A62" s="1"/>
      <c r="B62" s="94"/>
      <c r="C62" s="1"/>
      <c r="D62" s="1"/>
      <c r="E62" s="1"/>
      <c r="F62" s="321"/>
      <c r="G62" s="472"/>
      <c r="H62" s="379"/>
      <c r="I62" s="517"/>
      <c r="J62" s="518"/>
      <c r="K62" s="519"/>
      <c r="L62" s="520"/>
      <c r="M62" s="521"/>
      <c r="N62" s="522"/>
      <c r="O62" s="523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30" t="s">
        <v>54</v>
      </c>
      <c r="I63" s="513">
        <f>I56+I46+I41+I36+I31+I26</f>
        <v>66.08247422680412</v>
      </c>
      <c r="J63" s="514">
        <f>J56+J46+J41+J36+J31+J26</f>
        <v>3.5896</v>
      </c>
      <c r="K63" s="514"/>
      <c r="L63" s="515">
        <f>L56+L46+L41+L36+L31+L26</f>
        <v>3589.6</v>
      </c>
      <c r="M63" s="515"/>
      <c r="N63" s="515">
        <f>N56+N46+N41+N36+N31+N26</f>
        <v>3589.6</v>
      </c>
      <c r="O63" s="516">
        <f>N63/N$23</f>
        <v>0.36712485681557844</v>
      </c>
      <c r="P63" s="1"/>
      <c r="Q63" s="114"/>
    </row>
    <row r="64" spans="1:17" ht="9" customHeight="1" thickBot="1">
      <c r="A64" s="1"/>
      <c r="B64" s="1"/>
      <c r="C64" s="1"/>
      <c r="D64" s="1"/>
      <c r="E64" s="1"/>
      <c r="F64" s="1"/>
      <c r="G64" s="184"/>
      <c r="H64" s="105"/>
      <c r="I64" s="334"/>
      <c r="J64" s="335"/>
      <c r="K64" s="335"/>
      <c r="L64" s="336"/>
      <c r="M64" s="336"/>
      <c r="N64" s="336"/>
      <c r="O64" s="337"/>
      <c r="P64" s="1"/>
      <c r="Q64" s="114"/>
    </row>
    <row r="65" spans="1:17" ht="15.75" thickBot="1">
      <c r="A65" s="1"/>
      <c r="B65" s="150" t="s">
        <v>155</v>
      </c>
      <c r="C65" s="1" t="s">
        <v>55</v>
      </c>
      <c r="D65" s="185"/>
      <c r="E65" s="138"/>
      <c r="F65" s="139"/>
      <c r="G65" s="186" t="s">
        <v>56</v>
      </c>
      <c r="H65" s="333" t="s">
        <v>57</v>
      </c>
      <c r="I65" s="329" t="s">
        <v>147</v>
      </c>
      <c r="J65" s="330" t="s">
        <v>148</v>
      </c>
      <c r="K65" s="330"/>
      <c r="L65" s="331" t="s">
        <v>149</v>
      </c>
      <c r="M65" s="331"/>
      <c r="N65" s="331" t="s">
        <v>150</v>
      </c>
      <c r="O65" s="332" t="s">
        <v>151</v>
      </c>
      <c r="P65" s="1"/>
      <c r="Q65" s="137"/>
    </row>
    <row r="66" spans="1:17" ht="16.5" thickBot="1" thickTop="1">
      <c r="A66" s="1"/>
      <c r="B66" s="94">
        <v>1</v>
      </c>
      <c r="C66" s="1"/>
      <c r="D66" s="1" t="s">
        <v>51</v>
      </c>
      <c r="E66" s="187"/>
      <c r="F66" s="188"/>
      <c r="G66" s="370">
        <v>12</v>
      </c>
      <c r="H66" s="320" t="s">
        <v>45</v>
      </c>
      <c r="I66" s="338">
        <f>G66/O15</f>
        <v>47.05882352941176</v>
      </c>
      <c r="J66" s="339">
        <f>(G66*O13)/100</f>
        <v>2.7720000000000002</v>
      </c>
      <c r="K66" s="340"/>
      <c r="L66" s="341">
        <f>J66*H14</f>
        <v>2772.0000000000005</v>
      </c>
      <c r="M66" s="342"/>
      <c r="N66" s="341">
        <f>L66*H13</f>
        <v>2772.0000000000005</v>
      </c>
      <c r="O66" s="343">
        <f>N66/N$23</f>
        <v>0.2835051546391753</v>
      </c>
      <c r="P66" s="148"/>
      <c r="Q66" s="114"/>
    </row>
    <row r="67" spans="1:17" ht="4.5" customHeight="1" thickBot="1" thickTop="1">
      <c r="A67" s="1"/>
      <c r="B67" s="94"/>
      <c r="C67" s="1"/>
      <c r="D67" s="150"/>
      <c r="E67" s="150"/>
      <c r="F67" s="150"/>
      <c r="G67" s="368"/>
      <c r="H67" s="195"/>
      <c r="I67" s="196"/>
      <c r="J67" s="197"/>
      <c r="K67" s="197"/>
      <c r="L67" s="192"/>
      <c r="M67" s="192"/>
      <c r="N67" s="192"/>
      <c r="O67" s="198"/>
      <c r="P67" s="1"/>
      <c r="Q67" s="137"/>
    </row>
    <row r="68" spans="1:17" ht="16.5" thickBot="1" thickTop="1">
      <c r="A68" s="1"/>
      <c r="B68" s="94">
        <v>2</v>
      </c>
      <c r="C68" s="1"/>
      <c r="D68" s="1" t="s">
        <v>123</v>
      </c>
      <c r="E68" s="141"/>
      <c r="F68" s="188"/>
      <c r="G68" s="370">
        <v>16</v>
      </c>
      <c r="H68" s="199" t="s">
        <v>117</v>
      </c>
      <c r="I68" s="189">
        <f>G68</f>
        <v>16</v>
      </c>
      <c r="J68" s="190">
        <f>G68*(F19+F21)*(N12/100)</f>
        <v>0.8691200000000001</v>
      </c>
      <c r="K68" s="200"/>
      <c r="L68" s="192">
        <f>J68*H14</f>
        <v>869.1200000000001</v>
      </c>
      <c r="M68" s="201"/>
      <c r="N68" s="371">
        <f>L68*H13</f>
        <v>869.1200000000001</v>
      </c>
      <c r="O68" s="194">
        <f>N68/N$23</f>
        <v>0.08888888888888889</v>
      </c>
      <c r="P68" s="148"/>
      <c r="Q68" s="114"/>
    </row>
    <row r="69" spans="1:17" ht="4.5" customHeight="1" thickBot="1" thickTop="1">
      <c r="A69" s="1"/>
      <c r="B69" s="94"/>
      <c r="C69" s="1"/>
      <c r="D69" s="141"/>
      <c r="E69" s="141"/>
      <c r="F69" s="202"/>
      <c r="G69" s="369"/>
      <c r="H69" s="203"/>
      <c r="I69" s="204"/>
      <c r="J69" s="190"/>
      <c r="K69" s="191"/>
      <c r="L69" s="192"/>
      <c r="M69" s="193"/>
      <c r="N69" s="526"/>
      <c r="O69" s="205"/>
      <c r="P69" s="1"/>
      <c r="Q69" s="114"/>
    </row>
    <row r="70" spans="1:17" ht="16.5" thickBot="1" thickTop="1">
      <c r="A70" s="1"/>
      <c r="B70" s="94">
        <v>3</v>
      </c>
      <c r="C70" s="1"/>
      <c r="D70" s="1" t="s">
        <v>118</v>
      </c>
      <c r="E70" s="1"/>
      <c r="F70" s="465" t="str">
        <f>IF(G21=0,"None","Yes")</f>
        <v>None</v>
      </c>
      <c r="G70" s="370">
        <v>10</v>
      </c>
      <c r="H70" s="473" t="s">
        <v>117</v>
      </c>
      <c r="I70" s="189" t="str">
        <f>IF($F70="yes",((J70*100)/N$12),"n.a.")</f>
        <v>n.a.</v>
      </c>
      <c r="J70" s="190" t="str">
        <f>IF(F70="Yes",(L70/H$12),"n.a.")</f>
        <v>n.a.</v>
      </c>
      <c r="K70" s="206"/>
      <c r="L70" s="192" t="str">
        <f>IF(F70="Yes",(N70/H$13),"n.a.")</f>
        <v>n.a.</v>
      </c>
      <c r="M70" s="524"/>
      <c r="N70" s="527" t="str">
        <f>IF(F70="Yes",((G70*I12*F21)/100),"n.a.")</f>
        <v>n.a.</v>
      </c>
      <c r="O70" s="525">
        <f>IF(F70="Yes",(N70/N$23),0)</f>
        <v>0</v>
      </c>
      <c r="P70" s="148"/>
      <c r="Q70" s="137"/>
    </row>
    <row r="71" spans="1:17" ht="3.75" customHeight="1" thickBot="1" thickTop="1">
      <c r="A71" s="1"/>
      <c r="B71" s="1"/>
      <c r="C71" s="1"/>
      <c r="D71" s="1"/>
      <c r="E71" s="1"/>
      <c r="F71" s="1"/>
      <c r="G71" s="360"/>
      <c r="H71" s="360"/>
      <c r="I71" s="208"/>
      <c r="J71" s="208"/>
      <c r="K71" s="208"/>
      <c r="L71" s="208"/>
      <c r="M71" s="208"/>
      <c r="N71" s="380"/>
      <c r="O71" s="208"/>
      <c r="P71" s="1"/>
      <c r="Q71" s="1"/>
    </row>
    <row r="72" spans="1:17" ht="16.5" customHeight="1">
      <c r="A72" s="1"/>
      <c r="B72" s="1"/>
      <c r="C72" s="1"/>
      <c r="D72" s="1"/>
      <c r="E72" s="1"/>
      <c r="F72" s="1"/>
      <c r="G72" s="1"/>
      <c r="H72" s="130" t="s">
        <v>120</v>
      </c>
      <c r="I72" s="506">
        <f>SUM(I66:I70)</f>
        <v>63.05882352941176</v>
      </c>
      <c r="J72" s="507">
        <f>SUM(J66:J70)</f>
        <v>3.6411200000000004</v>
      </c>
      <c r="K72" s="508"/>
      <c r="L72" s="509">
        <f>SUM(L66:L70)</f>
        <v>3641.120000000001</v>
      </c>
      <c r="M72" s="510"/>
      <c r="N72" s="509">
        <f>SUM(N66:N70)</f>
        <v>3641.120000000001</v>
      </c>
      <c r="O72" s="210">
        <f>N72/N$23</f>
        <v>0.3723940435280642</v>
      </c>
      <c r="P72" s="1"/>
      <c r="Q72" s="114"/>
    </row>
    <row r="73" spans="1:17" ht="7.5" customHeight="1" thickBot="1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37"/>
    </row>
    <row r="74" spans="1:17" ht="16.5" customHeight="1" thickBot="1">
      <c r="A74" s="1"/>
      <c r="B74" s="1"/>
      <c r="C74" s="1"/>
      <c r="D74" s="1"/>
      <c r="E74" s="3"/>
      <c r="F74" s="211"/>
      <c r="G74" s="44"/>
      <c r="H74" s="212" t="s">
        <v>121</v>
      </c>
      <c r="I74" s="213">
        <f>I72+I63</f>
        <v>129.1412977562159</v>
      </c>
      <c r="J74" s="214">
        <f>J72+J63</f>
        <v>7.23072</v>
      </c>
      <c r="K74" s="214"/>
      <c r="L74" s="215">
        <f>L72+L63</f>
        <v>7230.720000000001</v>
      </c>
      <c r="M74" s="215"/>
      <c r="N74" s="215">
        <f>N72+N63</f>
        <v>7230.720000000001</v>
      </c>
      <c r="O74" s="216">
        <f>N74/N$23</f>
        <v>0.7395189003436426</v>
      </c>
      <c r="P74" s="10"/>
      <c r="Q74" s="114"/>
    </row>
    <row r="75" spans="1:17" ht="9" customHeight="1" thickBot="1">
      <c r="A75" s="1"/>
      <c r="B75" s="1"/>
      <c r="C75" s="1"/>
      <c r="D75" s="1"/>
      <c r="E75" s="1"/>
      <c r="F75" s="44"/>
      <c r="G75" s="44"/>
      <c r="H75" s="44"/>
      <c r="I75" s="44"/>
      <c r="J75" s="44"/>
      <c r="K75" s="44"/>
      <c r="L75" s="217"/>
      <c r="M75" s="217"/>
      <c r="N75" s="218"/>
      <c r="O75" s="219"/>
      <c r="P75" s="1"/>
      <c r="Q75" s="137"/>
    </row>
    <row r="76" spans="1:17" ht="15.75" thickBot="1">
      <c r="A76" s="1"/>
      <c r="B76" s="1"/>
      <c r="C76" s="1"/>
      <c r="D76" s="1"/>
      <c r="E76" s="3"/>
      <c r="F76" s="220"/>
      <c r="G76" s="221"/>
      <c r="H76" s="222" t="s">
        <v>59</v>
      </c>
      <c r="I76" s="223">
        <f>I23-I74</f>
        <v>50.85870224378408</v>
      </c>
      <c r="J76" s="224">
        <f>J23-J74</f>
        <v>2.54688</v>
      </c>
      <c r="K76" s="224"/>
      <c r="L76" s="225">
        <f>L23-L74</f>
        <v>2546.879999999999</v>
      </c>
      <c r="M76" s="225"/>
      <c r="N76" s="225">
        <f>N23-N74</f>
        <v>2546.879999999999</v>
      </c>
      <c r="O76" s="226">
        <f>N76/N$23</f>
        <v>0.2604810996563573</v>
      </c>
      <c r="P76" s="10"/>
      <c r="Q76" s="114"/>
    </row>
    <row r="77" spans="1:17" ht="6.75" customHeight="1" thickBot="1">
      <c r="A77" s="1"/>
      <c r="B77" s="1"/>
      <c r="C77" s="1"/>
      <c r="D77" s="1"/>
      <c r="E77" s="1"/>
      <c r="F77" s="5"/>
      <c r="G77" s="85"/>
      <c r="H77" s="5"/>
      <c r="I77" s="323"/>
      <c r="J77" s="323"/>
      <c r="K77" s="323"/>
      <c r="L77" s="324"/>
      <c r="M77" s="324"/>
      <c r="N77" s="324"/>
      <c r="O77" s="325"/>
      <c r="P77" s="1"/>
      <c r="Q77" s="137"/>
    </row>
    <row r="78" spans="1:17" ht="15" customHeight="1" thickBot="1">
      <c r="A78" s="107" t="s">
        <v>60</v>
      </c>
      <c r="B78" s="1"/>
      <c r="C78" s="1"/>
      <c r="D78" s="1"/>
      <c r="E78" s="1"/>
      <c r="F78" s="1"/>
      <c r="G78" s="1"/>
      <c r="H78" s="321"/>
      <c r="I78" s="329" t="s">
        <v>147</v>
      </c>
      <c r="J78" s="330" t="s">
        <v>148</v>
      </c>
      <c r="K78" s="330"/>
      <c r="L78" s="331" t="s">
        <v>149</v>
      </c>
      <c r="M78" s="331"/>
      <c r="N78" s="331" t="s">
        <v>150</v>
      </c>
      <c r="O78" s="332" t="s">
        <v>151</v>
      </c>
      <c r="P78" s="322"/>
      <c r="Q78" s="137"/>
    </row>
    <row r="79" spans="1:17" ht="15" customHeight="1" thickBot="1">
      <c r="A79" s="1"/>
      <c r="B79" s="150" t="s">
        <v>152</v>
      </c>
      <c r="C79" s="1" t="s">
        <v>39</v>
      </c>
      <c r="D79" s="185"/>
      <c r="E79" s="138"/>
      <c r="F79" s="470"/>
      <c r="G79" s="306"/>
      <c r="H79" s="227" t="s">
        <v>61</v>
      </c>
      <c r="I79" s="492">
        <f>(J79*100)/N$12</f>
        <v>3.405743740795287</v>
      </c>
      <c r="J79" s="493">
        <f>L79/H$14</f>
        <v>0.185</v>
      </c>
      <c r="K79" s="326"/>
      <c r="L79" s="558">
        <v>185</v>
      </c>
      <c r="M79" s="327"/>
      <c r="N79" s="494">
        <f>L79*H13</f>
        <v>185</v>
      </c>
      <c r="O79" s="328">
        <f>N79/N$23</f>
        <v>0.018920798559973816</v>
      </c>
      <c r="P79" s="1"/>
      <c r="Q79" s="137"/>
    </row>
    <row r="80" spans="1:17" ht="15.75" customHeight="1" thickBot="1" thickTop="1">
      <c r="A80" s="1"/>
      <c r="B80" s="94" t="s">
        <v>156</v>
      </c>
      <c r="C80" s="1" t="s">
        <v>119</v>
      </c>
      <c r="E80" s="469"/>
      <c r="F80" s="563">
        <v>0</v>
      </c>
      <c r="G80" s="468" t="s">
        <v>117</v>
      </c>
      <c r="H80" s="467" t="s">
        <v>61</v>
      </c>
      <c r="I80" s="557">
        <f>(J80*100)/N$12</f>
        <v>0</v>
      </c>
      <c r="J80" s="556">
        <f>L80/H$12</f>
        <v>0</v>
      </c>
      <c r="K80" s="554"/>
      <c r="L80" s="559">
        <f>N80/H$13</f>
        <v>0</v>
      </c>
      <c r="M80" s="559"/>
      <c r="N80" s="559">
        <f>(F80*I12)/100</f>
        <v>0</v>
      </c>
      <c r="O80" s="555">
        <f>N80/N$23</f>
        <v>0</v>
      </c>
      <c r="P80" s="1"/>
      <c r="Q80" s="1"/>
    </row>
    <row r="81" spans="1:17" ht="15.75" customHeight="1" thickBot="1" thickTop="1">
      <c r="A81" s="1"/>
      <c r="B81" s="150" t="s">
        <v>157</v>
      </c>
      <c r="C81" s="1" t="s">
        <v>62</v>
      </c>
      <c r="D81" s="185"/>
      <c r="E81" s="138"/>
      <c r="F81" s="471"/>
      <c r="G81" s="360"/>
      <c r="H81" s="227" t="s">
        <v>63</v>
      </c>
      <c r="I81" s="495">
        <f>I82+I83</f>
        <v>3.6</v>
      </c>
      <c r="J81" s="496">
        <f>J82+J83</f>
        <v>0.19555200000000003</v>
      </c>
      <c r="K81" s="496"/>
      <c r="L81" s="497">
        <f>L82+L83</f>
        <v>195.55200000000002</v>
      </c>
      <c r="M81" s="498"/>
      <c r="N81" s="497">
        <f>N82+N83</f>
        <v>195.55200000000002</v>
      </c>
      <c r="O81" s="164">
        <f>N81/N$23</f>
        <v>0.02</v>
      </c>
      <c r="P81" s="1"/>
      <c r="Q81" s="137"/>
    </row>
    <row r="82" spans="1:17" ht="13.5" customHeight="1" thickBot="1" thickTop="1">
      <c r="A82" s="1"/>
      <c r="B82" s="228">
        <v>1</v>
      </c>
      <c r="C82" s="1"/>
      <c r="D82" s="94" t="s">
        <v>64</v>
      </c>
      <c r="E82" s="111" t="s">
        <v>154</v>
      </c>
      <c r="F82" s="561">
        <v>0.02</v>
      </c>
      <c r="G82" s="466" t="s">
        <v>65</v>
      </c>
      <c r="H82" s="96"/>
      <c r="I82" s="483">
        <f>(J82*100)/N$12</f>
        <v>3.6</v>
      </c>
      <c r="J82" s="165">
        <f>L82/H$14</f>
        <v>0.19555200000000003</v>
      </c>
      <c r="K82" s="165"/>
      <c r="L82" s="479">
        <f>N82/H$13</f>
        <v>195.55200000000002</v>
      </c>
      <c r="M82" s="479"/>
      <c r="N82" s="479">
        <f>F82*N$23</f>
        <v>195.55200000000002</v>
      </c>
      <c r="O82" s="147">
        <f aca="true" t="shared" si="0" ref="O82:O87">N82/N$23</f>
        <v>0.02</v>
      </c>
      <c r="P82" s="148"/>
      <c r="Q82" s="137"/>
    </row>
    <row r="83" spans="1:17" ht="13.5" customHeight="1" thickBot="1" thickTop="1">
      <c r="A83" s="1"/>
      <c r="B83" s="228">
        <v>2</v>
      </c>
      <c r="C83" s="1"/>
      <c r="D83" s="94" t="s">
        <v>66</v>
      </c>
      <c r="E83" s="111" t="s">
        <v>154</v>
      </c>
      <c r="F83" s="561">
        <v>0</v>
      </c>
      <c r="G83" s="466" t="s">
        <v>65</v>
      </c>
      <c r="H83" s="96"/>
      <c r="I83" s="487">
        <f>(J83*100)/N$12</f>
        <v>0</v>
      </c>
      <c r="J83" s="166">
        <f>L83/H$14</f>
        <v>0</v>
      </c>
      <c r="K83" s="166"/>
      <c r="L83" s="480">
        <f>N83/H$13</f>
        <v>0</v>
      </c>
      <c r="M83" s="480"/>
      <c r="N83" s="480">
        <f>F83*N$23</f>
        <v>0</v>
      </c>
      <c r="O83" s="156">
        <f t="shared" si="0"/>
        <v>0</v>
      </c>
      <c r="P83" s="148"/>
      <c r="Q83" s="137"/>
    </row>
    <row r="84" spans="1:17" ht="3" customHeight="1" thickTop="1">
      <c r="A84" s="1"/>
      <c r="B84" s="1"/>
      <c r="C84" s="1"/>
      <c r="D84" s="1"/>
      <c r="E84" s="1"/>
      <c r="F84" s="229"/>
      <c r="G84" s="1"/>
      <c r="H84" s="1"/>
      <c r="I84" s="11"/>
      <c r="J84" s="11"/>
      <c r="K84" s="11"/>
      <c r="L84" s="11"/>
      <c r="M84" s="11"/>
      <c r="N84" s="11"/>
      <c r="O84" s="11"/>
      <c r="P84" s="1"/>
      <c r="Q84" s="1"/>
    </row>
    <row r="85" spans="1:17" ht="15" customHeight="1" thickBot="1">
      <c r="A85" s="1"/>
      <c r="B85" s="150" t="s">
        <v>158</v>
      </c>
      <c r="C85" s="1" t="s">
        <v>6</v>
      </c>
      <c r="D85" s="185"/>
      <c r="E85" s="138"/>
      <c r="F85" s="230"/>
      <c r="G85" s="1"/>
      <c r="H85" s="227" t="s">
        <v>7</v>
      </c>
      <c r="I85" s="495">
        <f aca="true" t="shared" si="1" ref="I85:N85">I86+I87</f>
        <v>5.522827687776141</v>
      </c>
      <c r="J85" s="496">
        <f t="shared" si="1"/>
        <v>0.30000000000000004</v>
      </c>
      <c r="K85" s="495"/>
      <c r="L85" s="497">
        <f t="shared" si="1"/>
        <v>300</v>
      </c>
      <c r="M85" s="495"/>
      <c r="N85" s="499">
        <f t="shared" si="1"/>
        <v>300</v>
      </c>
      <c r="O85" s="164">
        <f>N85/N$23</f>
        <v>0.030682376043200784</v>
      </c>
      <c r="P85" s="1"/>
      <c r="Q85" s="137"/>
    </row>
    <row r="86" spans="1:17" ht="15" customHeight="1" thickBot="1" thickTop="1">
      <c r="A86" s="1"/>
      <c r="B86" s="228">
        <v>1</v>
      </c>
      <c r="C86" s="1"/>
      <c r="D86" s="94" t="s">
        <v>8</v>
      </c>
      <c r="G86" s="232"/>
      <c r="H86" s="475" t="s">
        <v>9</v>
      </c>
      <c r="I86" s="483">
        <f>(J86*100)/N$12</f>
        <v>1.840942562592047</v>
      </c>
      <c r="J86" s="165">
        <f>L86/H$14</f>
        <v>0.1</v>
      </c>
      <c r="K86" s="165"/>
      <c r="L86" s="479">
        <f>N86/H13</f>
        <v>100</v>
      </c>
      <c r="M86" s="481"/>
      <c r="N86" s="491">
        <v>100</v>
      </c>
      <c r="O86" s="233">
        <f t="shared" si="0"/>
        <v>0.010227458681066929</v>
      </c>
      <c r="P86" s="148"/>
      <c r="Q86" s="137"/>
    </row>
    <row r="87" spans="1:17" ht="15" customHeight="1" thickBot="1" thickTop="1">
      <c r="A87" s="1"/>
      <c r="B87" s="228">
        <v>2</v>
      </c>
      <c r="C87" s="1"/>
      <c r="D87" s="94" t="s">
        <v>10</v>
      </c>
      <c r="G87" s="232"/>
      <c r="H87" s="475" t="s">
        <v>9</v>
      </c>
      <c r="I87" s="487">
        <f>(J87*100)/N$12</f>
        <v>3.681885125184094</v>
      </c>
      <c r="J87" s="166">
        <f>L87/H$14</f>
        <v>0.2</v>
      </c>
      <c r="K87" s="166"/>
      <c r="L87" s="480">
        <f>N87/H$13</f>
        <v>200</v>
      </c>
      <c r="M87" s="482"/>
      <c r="N87" s="491">
        <v>200</v>
      </c>
      <c r="O87" s="234">
        <f t="shared" si="0"/>
        <v>0.020454917362133857</v>
      </c>
      <c r="P87" s="148"/>
      <c r="Q87" s="137"/>
    </row>
    <row r="88" spans="1:17" ht="3.75" customHeight="1" thickTop="1">
      <c r="A88" s="1"/>
      <c r="B88" s="235"/>
      <c r="C88" s="1"/>
      <c r="D88" s="1"/>
      <c r="E88" s="1"/>
      <c r="F88" s="1"/>
      <c r="G88" s="1"/>
      <c r="H88" s="1"/>
      <c r="I88" s="11"/>
      <c r="J88" s="11"/>
      <c r="K88" s="11"/>
      <c r="L88" s="169"/>
      <c r="M88" s="169"/>
      <c r="N88" s="236"/>
      <c r="O88" s="170"/>
      <c r="P88" s="1"/>
      <c r="Q88" s="137"/>
    </row>
    <row r="89" spans="1:17" ht="15" customHeight="1" thickBot="1">
      <c r="A89" s="1"/>
      <c r="B89" s="150" t="s">
        <v>159</v>
      </c>
      <c r="C89" s="1" t="s">
        <v>88</v>
      </c>
      <c r="D89" s="1"/>
      <c r="E89" s="1"/>
      <c r="F89" s="237"/>
      <c r="G89" s="1"/>
      <c r="H89" s="172" t="s">
        <v>89</v>
      </c>
      <c r="I89" s="495">
        <f>I90+I91</f>
        <v>0.2835051546391753</v>
      </c>
      <c r="J89" s="496">
        <f>J90+J91</f>
        <v>0.0154</v>
      </c>
      <c r="K89" s="495"/>
      <c r="L89" s="500">
        <f>L90+L91</f>
        <v>15.4</v>
      </c>
      <c r="M89" s="500"/>
      <c r="N89" s="500">
        <f>N90+N91</f>
        <v>15.4</v>
      </c>
      <c r="O89" s="164">
        <f>N89/N$23</f>
        <v>0.001575028636884307</v>
      </c>
      <c r="P89" s="1"/>
      <c r="Q89" s="137"/>
    </row>
    <row r="90" spans="1:17" ht="13.5" customHeight="1" thickBot="1" thickTop="1">
      <c r="A90" s="1"/>
      <c r="B90" s="228">
        <v>1</v>
      </c>
      <c r="C90" s="1"/>
      <c r="D90" s="94" t="s">
        <v>163</v>
      </c>
      <c r="E90" s="111" t="s">
        <v>154</v>
      </c>
      <c r="F90" s="564">
        <v>35</v>
      </c>
      <c r="G90" s="238" t="s">
        <v>90</v>
      </c>
      <c r="H90" s="562">
        <v>25</v>
      </c>
      <c r="I90" s="483">
        <f>(J90*100)/N$12</f>
        <v>0.025773195876288655</v>
      </c>
      <c r="J90" s="484">
        <f>N90/H$12</f>
        <v>0.0014</v>
      </c>
      <c r="K90" s="485"/>
      <c r="L90" s="486">
        <f>N90/H$13</f>
        <v>1.4</v>
      </c>
      <c r="M90" s="486"/>
      <c r="N90" s="486">
        <f>F90/H90</f>
        <v>1.4</v>
      </c>
      <c r="O90" s="147">
        <f>N90/N$23</f>
        <v>0.00014318442153493698</v>
      </c>
      <c r="P90" s="148"/>
      <c r="Q90" s="137"/>
    </row>
    <row r="91" spans="1:17" ht="13.5" customHeight="1" thickBot="1" thickTop="1">
      <c r="A91" s="1"/>
      <c r="B91" s="228">
        <v>2</v>
      </c>
      <c r="C91" s="1"/>
      <c r="D91" s="94" t="s">
        <v>162</v>
      </c>
      <c r="E91" s="232"/>
      <c r="F91" s="239"/>
      <c r="G91" s="561">
        <v>0.01</v>
      </c>
      <c r="H91" s="240" t="s">
        <v>91</v>
      </c>
      <c r="I91" s="487">
        <f>(J91*100)/N$12</f>
        <v>0.2577319587628866</v>
      </c>
      <c r="J91" s="488">
        <f>N91/H$12</f>
        <v>0.014</v>
      </c>
      <c r="K91" s="489"/>
      <c r="L91" s="490">
        <f>N91/H$13</f>
        <v>14</v>
      </c>
      <c r="M91" s="490"/>
      <c r="N91" s="490">
        <f>G91*H12*N90</f>
        <v>14</v>
      </c>
      <c r="O91" s="156">
        <f>N91/N$23</f>
        <v>0.0014318442153493699</v>
      </c>
      <c r="P91" s="148"/>
      <c r="Q91" s="137"/>
    </row>
    <row r="92" spans="1:17" ht="3.75" customHeight="1" thickBot="1" thickTop="1">
      <c r="A92" s="1"/>
      <c r="B92" s="241"/>
      <c r="C92" s="1"/>
      <c r="D92" s="1"/>
      <c r="E92" s="1"/>
      <c r="F92" s="2"/>
      <c r="G92" s="209"/>
      <c r="H92" s="2"/>
      <c r="I92" s="208"/>
      <c r="J92" s="208"/>
      <c r="K92" s="208"/>
      <c r="L92" s="208"/>
      <c r="M92" s="208"/>
      <c r="N92" s="208"/>
      <c r="O92" s="208"/>
      <c r="P92" s="1"/>
      <c r="Q92" s="1"/>
    </row>
    <row r="93" spans="1:17" ht="15.75" customHeight="1" thickBot="1">
      <c r="A93" s="1"/>
      <c r="B93" s="241"/>
      <c r="C93" s="1"/>
      <c r="D93" s="1"/>
      <c r="E93" s="3"/>
      <c r="F93" s="211"/>
      <c r="G93" s="44"/>
      <c r="H93" s="212" t="s">
        <v>92</v>
      </c>
      <c r="I93" s="242">
        <f>I89+I85+I81+I79</f>
        <v>12.812076583210604</v>
      </c>
      <c r="J93" s="243">
        <f>J89+J85+J81+J79</f>
        <v>0.6959520000000001</v>
      </c>
      <c r="K93" s="243"/>
      <c r="L93" s="217">
        <f>L89+L85+L81+L79</f>
        <v>695.952</v>
      </c>
      <c r="M93" s="217"/>
      <c r="N93" s="217">
        <f>N89+N85+N81+N79+N80</f>
        <v>695.952</v>
      </c>
      <c r="O93" s="216">
        <f>N93/N$23</f>
        <v>0.07117820324005891</v>
      </c>
      <c r="P93" s="10"/>
      <c r="Q93" s="137"/>
    </row>
    <row r="94" spans="1:17" ht="6" customHeight="1" thickBot="1">
      <c r="A94" s="1"/>
      <c r="B94" s="241"/>
      <c r="C94" s="1"/>
      <c r="D94" s="2"/>
      <c r="E94" s="2"/>
      <c r="F94" s="44"/>
      <c r="G94" s="212"/>
      <c r="H94" s="44"/>
      <c r="I94" s="242"/>
      <c r="J94" s="244"/>
      <c r="K94" s="244"/>
      <c r="L94" s="245"/>
      <c r="M94" s="245"/>
      <c r="N94" s="217"/>
      <c r="O94" s="246"/>
      <c r="P94" s="1"/>
      <c r="Q94" s="137"/>
    </row>
    <row r="95" spans="1:17" ht="15.75" customHeight="1" thickBot="1">
      <c r="A95" s="1"/>
      <c r="B95" s="241"/>
      <c r="C95" s="3"/>
      <c r="D95" s="220"/>
      <c r="E95" s="221"/>
      <c r="F95" s="221"/>
      <c r="G95" s="221"/>
      <c r="H95" s="222" t="s">
        <v>93</v>
      </c>
      <c r="I95" s="247">
        <f>I93+I74</f>
        <v>141.9533743394265</v>
      </c>
      <c r="J95" s="248">
        <f>J93+J74</f>
        <v>7.926672</v>
      </c>
      <c r="K95" s="248"/>
      <c r="L95" s="249">
        <f>L93+L74</f>
        <v>7926.672000000001</v>
      </c>
      <c r="M95" s="249"/>
      <c r="N95" s="250">
        <f>N93+N74</f>
        <v>7926.672000000001</v>
      </c>
      <c r="O95" s="226">
        <f>N95/N$23</f>
        <v>0.8106971035837016</v>
      </c>
      <c r="P95" s="10"/>
      <c r="Q95" s="137"/>
    </row>
    <row r="96" spans="1:17" ht="6" customHeight="1" thickBot="1">
      <c r="A96" s="1"/>
      <c r="B96" s="241"/>
      <c r="C96" s="1"/>
      <c r="D96" s="44"/>
      <c r="E96" s="44"/>
      <c r="F96" s="44"/>
      <c r="G96" s="212"/>
      <c r="H96" s="44"/>
      <c r="I96" s="242"/>
      <c r="J96" s="244"/>
      <c r="K96" s="244"/>
      <c r="L96" s="245"/>
      <c r="M96" s="245"/>
      <c r="N96" s="217"/>
      <c r="O96" s="246"/>
      <c r="P96" s="1"/>
      <c r="Q96" s="137"/>
    </row>
    <row r="97" spans="1:17" ht="16.5" customHeight="1" thickBot="1">
      <c r="A97" s="1"/>
      <c r="B97" s="241"/>
      <c r="C97" s="3"/>
      <c r="D97" s="220"/>
      <c r="E97" s="221"/>
      <c r="F97" s="221"/>
      <c r="G97" s="221"/>
      <c r="H97" s="252" t="s">
        <v>133</v>
      </c>
      <c r="I97" s="253">
        <f>I23-I95</f>
        <v>38.04662566057348</v>
      </c>
      <c r="J97" s="254">
        <f>J23-J95</f>
        <v>1.8509279999999997</v>
      </c>
      <c r="K97" s="254"/>
      <c r="L97" s="255">
        <f>L23-L95</f>
        <v>1850.927999999999</v>
      </c>
      <c r="M97" s="256"/>
      <c r="N97" s="255">
        <f>N23-N95</f>
        <v>1850.927999999999</v>
      </c>
      <c r="O97" s="251">
        <f>N97/N$23</f>
        <v>0.18930289641629836</v>
      </c>
      <c r="P97" s="10"/>
      <c r="Q97" s="137"/>
    </row>
    <row r="98" spans="1:17" ht="6" customHeight="1" thickBot="1">
      <c r="A98" s="1"/>
      <c r="B98" s="2"/>
      <c r="C98" s="2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57"/>
      <c r="P98" s="1"/>
      <c r="Q98" s="1"/>
    </row>
    <row r="99" spans="1:17" ht="16.5" thickBot="1" thickTop="1">
      <c r="A99" s="3"/>
      <c r="B99" s="258" t="s">
        <v>134</v>
      </c>
      <c r="C99" s="259"/>
      <c r="D99" s="259"/>
      <c r="E99" s="259"/>
      <c r="F99" s="259"/>
      <c r="G99" s="260"/>
      <c r="H99" s="260"/>
      <c r="I99" s="260"/>
      <c r="J99" s="260"/>
      <c r="K99" s="260"/>
      <c r="L99" s="260"/>
      <c r="M99" s="260"/>
      <c r="N99" s="278" t="s">
        <v>0</v>
      </c>
      <c r="O99" s="261" t="s">
        <v>122</v>
      </c>
      <c r="P99" s="262"/>
      <c r="Q99" s="1"/>
    </row>
    <row r="100" spans="1:17" ht="15.75" thickTop="1">
      <c r="A100" s="3"/>
      <c r="B100" s="263"/>
      <c r="C100" s="264"/>
      <c r="D100" s="264"/>
      <c r="E100" s="264"/>
      <c r="F100" s="265" t="s">
        <v>135</v>
      </c>
      <c r="G100" s="266">
        <f>F23</f>
        <v>1.7999999999999998</v>
      </c>
      <c r="H100" s="308" t="str">
        <f>IF(O99="T","$/lb. of wet beans, the yield req'd. to cover TOTAL production costs =","$/lb. of wet beans, the yield req'd. to cover all OPERATING costs =")</f>
        <v>$/lb. of wet beans, the yield req'd. to cover TOTAL production costs =</v>
      </c>
      <c r="I100" s="264"/>
      <c r="J100" s="264"/>
      <c r="K100" s="264"/>
      <c r="L100" s="264"/>
      <c r="M100" s="264"/>
      <c r="N100" s="264"/>
      <c r="O100" s="267">
        <f>IF(O99="T",J95/G100,J74/G100)</f>
        <v>4.403706666666667</v>
      </c>
      <c r="P100" s="10"/>
      <c r="Q100" s="1"/>
    </row>
    <row r="101" spans="1:17" ht="15.75" thickBot="1">
      <c r="A101" s="3"/>
      <c r="B101" s="268"/>
      <c r="C101" s="269"/>
      <c r="D101" s="269"/>
      <c r="E101" s="269"/>
      <c r="F101" s="270" t="s">
        <v>136</v>
      </c>
      <c r="G101" s="271">
        <f>N12</f>
        <v>5.432</v>
      </c>
      <c r="H101" s="307" t="str">
        <f>IF(O99="T","lbs. of wet beans/tree, wt'd. ave. price req. to cover TOTAL costs =","lbs. wet beans/tr., wt'd. ave. price req. to cover OPERATING costs =")</f>
        <v>lbs. of wet beans/tree, wt'd. ave. price req. to cover TOTAL costs =</v>
      </c>
      <c r="I101" s="269"/>
      <c r="J101" s="269"/>
      <c r="K101" s="269"/>
      <c r="L101" s="269"/>
      <c r="M101" s="269"/>
      <c r="N101" s="269"/>
      <c r="O101" s="272">
        <f>IF(O99="T",J95/G101,J74/G101)</f>
        <v>1.4592547864506626</v>
      </c>
      <c r="P101" s="10"/>
      <c r="Q101" s="1"/>
    </row>
  </sheetData>
  <printOptions/>
  <pageMargins left="0.3500000238418579" right="0.3500000238418579" top="0.5799999833106995" bottom="0.38999998569488525" header="0.3100000023841858" footer="0"/>
  <pageSetup firstPageNumber="1" useFirstPageNumber="1" orientation="portrait" paperSize="9"/>
  <headerFooter alignWithMargins="0">
    <oddHeader>&amp;L
&amp;"Arial,Bold"&amp;14Enterprise Budget for Cacao Production
</oddHeader>
  </headerFooter>
  <ignoredErrors>
    <ignoredError sqref="I72:J72 N7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="175" zoomScaleNormal="175" workbookViewId="0" topLeftCell="A1">
      <selection activeCell="L15" sqref="L15:L16"/>
    </sheetView>
  </sheetViews>
  <sheetFormatPr defaultColWidth="10.296875" defaultRowHeight="19.5" customHeight="1"/>
  <cols>
    <col min="1" max="1" width="1.2890625" style="277" customWidth="1"/>
    <col min="2" max="2" width="2.296875" style="277" customWidth="1"/>
    <col min="3" max="3" width="1.2890625" style="277" customWidth="1"/>
    <col min="4" max="4" width="11.8984375" style="277" customWidth="1"/>
    <col min="5" max="5" width="2.59765625" style="277" customWidth="1"/>
    <col min="6" max="6" width="7.09765625" style="277" customWidth="1"/>
    <col min="7" max="7" width="6" style="277" customWidth="1"/>
    <col min="8" max="8" width="7.8984375" style="277" customWidth="1"/>
    <col min="9" max="9" width="6" style="277" customWidth="1"/>
    <col min="10" max="10" width="6.09765625" style="277" customWidth="1"/>
    <col min="11" max="11" width="1.2890625" style="277" customWidth="1"/>
    <col min="12" max="12" width="7.09765625" style="277" customWidth="1"/>
    <col min="13" max="13" width="1.2890625" style="277" customWidth="1"/>
    <col min="14" max="14" width="6.09765625" style="277" customWidth="1"/>
    <col min="15" max="15" width="5.09765625" style="277" customWidth="1"/>
    <col min="16" max="16" width="0.40625" style="277" customWidth="1"/>
    <col min="17" max="17" width="1.2890625" style="277" customWidth="1"/>
    <col min="18" max="16384" width="10.296875" style="277" customWidth="1"/>
  </cols>
  <sheetData>
    <row r="1" spans="1:17" ht="0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15" customHeight="1">
      <c r="A2" s="3"/>
      <c r="B2" s="4" t="s">
        <v>137</v>
      </c>
      <c r="C2" s="5"/>
      <c r="D2" s="5"/>
      <c r="E2" s="5"/>
      <c r="F2" s="5"/>
      <c r="G2" s="5"/>
      <c r="H2" s="5"/>
      <c r="I2" s="6" t="s">
        <v>138</v>
      </c>
      <c r="J2" s="7" t="s">
        <v>79</v>
      </c>
      <c r="K2" s="376" t="s">
        <v>80</v>
      </c>
      <c r="L2" s="8" t="s">
        <v>67</v>
      </c>
      <c r="M2" s="8"/>
      <c r="N2" s="8"/>
      <c r="O2" s="9"/>
      <c r="P2" s="377"/>
      <c r="Q2" s="10"/>
    </row>
    <row r="3" spans="1:17" ht="15" customHeight="1" thickBot="1">
      <c r="A3" s="3"/>
      <c r="B3" s="302"/>
      <c r="C3" s="305" t="s">
        <v>139</v>
      </c>
      <c r="E3" s="2"/>
      <c r="F3" s="2"/>
      <c r="G3" s="13" t="s">
        <v>140</v>
      </c>
      <c r="H3" s="14" t="s">
        <v>141</v>
      </c>
      <c r="I3" s="14" t="s">
        <v>142</v>
      </c>
      <c r="J3" s="2"/>
      <c r="K3" s="15"/>
      <c r="L3" s="12" t="s">
        <v>94</v>
      </c>
      <c r="M3" s="12"/>
      <c r="N3" s="16"/>
      <c r="O3" s="2"/>
      <c r="P3" s="3"/>
      <c r="Q3" s="10"/>
    </row>
    <row r="4" spans="1:17" ht="16.5" thickBot="1" thickTop="1">
      <c r="A4" s="3"/>
      <c r="B4" s="17">
        <v>1</v>
      </c>
      <c r="C4" s="304"/>
      <c r="D4" s="18" t="s">
        <v>95</v>
      </c>
      <c r="E4" s="19"/>
      <c r="F4" s="20"/>
      <c r="G4" s="21">
        <v>0</v>
      </c>
      <c r="H4" s="22">
        <v>1.8</v>
      </c>
      <c r="I4" s="23">
        <v>5.6</v>
      </c>
      <c r="J4" s="298" t="s">
        <v>96</v>
      </c>
      <c r="K4" s="24"/>
      <c r="L4" s="464" t="s">
        <v>28</v>
      </c>
      <c r="M4" s="25"/>
      <c r="N4" s="26"/>
      <c r="O4" s="27"/>
      <c r="P4" s="28"/>
      <c r="Q4" s="10"/>
    </row>
    <row r="5" spans="1:17" ht="16.5" thickBot="1" thickTop="1">
      <c r="A5" s="3"/>
      <c r="B5" s="17">
        <v>2</v>
      </c>
      <c r="C5" s="3"/>
      <c r="D5" s="29" t="s">
        <v>40</v>
      </c>
      <c r="E5" s="553" t="s">
        <v>97</v>
      </c>
      <c r="F5" s="552">
        <v>0.9</v>
      </c>
      <c r="G5" s="31">
        <f>1-G4</f>
        <v>1</v>
      </c>
      <c r="H5" s="22">
        <v>2</v>
      </c>
      <c r="I5" s="23">
        <f>F5*I4</f>
        <v>5.04</v>
      </c>
      <c r="J5" s="299" t="s">
        <v>96</v>
      </c>
      <c r="K5" s="24"/>
      <c r="L5" s="572">
        <v>6</v>
      </c>
      <c r="M5" s="33" t="s">
        <v>41</v>
      </c>
      <c r="N5" s="573">
        <v>7</v>
      </c>
      <c r="O5" s="35"/>
      <c r="P5" s="28"/>
      <c r="Q5" s="10"/>
    </row>
    <row r="6" spans="1:17" ht="13.5" customHeight="1" thickBot="1" thickTop="1">
      <c r="A6" s="3"/>
      <c r="B6" s="17"/>
      <c r="C6" s="303"/>
      <c r="D6" s="36"/>
      <c r="E6" s="37"/>
      <c r="F6" s="37"/>
      <c r="G6" s="38" t="s">
        <v>128</v>
      </c>
      <c r="H6" s="39">
        <f>(G4*H4)+(G5*H5)</f>
        <v>2</v>
      </c>
      <c r="I6" s="40">
        <f>(G4*I4)+(G5*I5)</f>
        <v>5.04</v>
      </c>
      <c r="J6" s="300" t="s">
        <v>96</v>
      </c>
      <c r="K6" s="24"/>
      <c r="L6" s="293" t="s">
        <v>129</v>
      </c>
      <c r="M6" s="41"/>
      <c r="N6" s="42"/>
      <c r="O6" s="43"/>
      <c r="P6" s="28"/>
      <c r="Q6" s="10"/>
    </row>
    <row r="7" spans="1:17" ht="15" customHeight="1" thickBot="1" thickTop="1">
      <c r="A7" s="3"/>
      <c r="B7" s="302"/>
      <c r="C7" s="305" t="s">
        <v>130</v>
      </c>
      <c r="E7" s="44"/>
      <c r="F7" s="44"/>
      <c r="G7" s="45" t="s">
        <v>131</v>
      </c>
      <c r="H7" s="46" t="s">
        <v>43</v>
      </c>
      <c r="I7" s="47" t="s">
        <v>29</v>
      </c>
      <c r="J7" s="48"/>
      <c r="K7" s="49"/>
      <c r="L7" s="453" t="s">
        <v>132</v>
      </c>
      <c r="M7" s="41"/>
      <c r="N7" s="50"/>
      <c r="O7" s="574">
        <v>0.036</v>
      </c>
      <c r="P7" s="28">
        <v>3.5</v>
      </c>
      <c r="Q7" s="10"/>
    </row>
    <row r="8" spans="1:17" ht="16.5" thickBot="1" thickTop="1">
      <c r="A8" s="3"/>
      <c r="B8" s="17">
        <v>3</v>
      </c>
      <c r="C8" s="304"/>
      <c r="D8" s="51" t="s">
        <v>30</v>
      </c>
      <c r="E8" s="52"/>
      <c r="F8" s="19"/>
      <c r="G8" s="53">
        <v>0</v>
      </c>
      <c r="H8" s="54">
        <v>10</v>
      </c>
      <c r="I8" s="55">
        <v>0</v>
      </c>
      <c r="J8" s="295" t="s">
        <v>96</v>
      </c>
      <c r="K8" s="56"/>
      <c r="L8" s="454" t="s">
        <v>31</v>
      </c>
      <c r="M8" s="57"/>
      <c r="N8" s="58"/>
      <c r="O8" s="59">
        <v>1</v>
      </c>
      <c r="P8" s="28"/>
      <c r="Q8" s="17"/>
    </row>
    <row r="9" spans="1:17" ht="16.5" thickBot="1" thickTop="1">
      <c r="A9" s="3"/>
      <c r="B9" s="17">
        <v>4</v>
      </c>
      <c r="C9" s="3"/>
      <c r="D9" s="60" t="s">
        <v>32</v>
      </c>
      <c r="E9" s="61"/>
      <c r="F9" s="62"/>
      <c r="G9" s="21">
        <v>0.3</v>
      </c>
      <c r="H9" s="63">
        <v>20</v>
      </c>
      <c r="I9" s="64">
        <f>G9*I$6*H9</f>
        <v>30.240000000000002</v>
      </c>
      <c r="J9" s="296" t="s">
        <v>96</v>
      </c>
      <c r="K9" s="28"/>
      <c r="L9" s="65"/>
      <c r="M9" s="294" t="s">
        <v>33</v>
      </c>
      <c r="N9" s="66">
        <f>43560/(L5*N5)*(1-O7)</f>
        <v>999.8057142857142</v>
      </c>
      <c r="O9" s="67" t="s">
        <v>34</v>
      </c>
      <c r="P9" s="28"/>
      <c r="Q9" s="68"/>
    </row>
    <row r="10" spans="1:17" ht="16.5" thickBot="1" thickTop="1">
      <c r="A10" s="3"/>
      <c r="B10" s="17">
        <v>5</v>
      </c>
      <c r="C10" s="3"/>
      <c r="D10" s="60" t="s">
        <v>32</v>
      </c>
      <c r="E10" s="61"/>
      <c r="F10" s="62"/>
      <c r="G10" s="21">
        <v>0.7</v>
      </c>
      <c r="H10" s="63">
        <v>20</v>
      </c>
      <c r="I10" s="64">
        <f>G10*I$6*H10</f>
        <v>70.55999999999999</v>
      </c>
      <c r="J10" s="296" t="s">
        <v>96</v>
      </c>
      <c r="K10" s="56"/>
      <c r="L10" s="69"/>
      <c r="M10" s="70" t="s">
        <v>35</v>
      </c>
      <c r="N10" s="71">
        <f>N9*O8</f>
        <v>999.8057142857142</v>
      </c>
      <c r="O10" s="72" t="s">
        <v>34</v>
      </c>
      <c r="P10" s="28"/>
      <c r="Q10" s="73"/>
    </row>
    <row r="11" spans="1:17" ht="15.75" customHeight="1" thickBot="1" thickTop="1">
      <c r="A11" s="3"/>
      <c r="B11" s="17">
        <v>6</v>
      </c>
      <c r="C11" s="3"/>
      <c r="D11" s="74" t="s">
        <v>36</v>
      </c>
      <c r="E11" s="75"/>
      <c r="F11" s="30"/>
      <c r="G11" s="476">
        <v>1</v>
      </c>
      <c r="H11" s="63">
        <v>950</v>
      </c>
      <c r="I11" s="477">
        <f>H11*I6</f>
        <v>4788</v>
      </c>
      <c r="J11" s="297" t="s">
        <v>96</v>
      </c>
      <c r="K11" s="76"/>
      <c r="L11" s="279"/>
      <c r="M11" s="279"/>
      <c r="N11" s="279"/>
      <c r="O11" s="279"/>
      <c r="P11" s="3"/>
      <c r="Q11" s="73"/>
    </row>
    <row r="12" spans="1:17" ht="15.75" customHeight="1" thickBot="1">
      <c r="A12" s="3"/>
      <c r="B12" s="17">
        <v>7</v>
      </c>
      <c r="C12" s="3"/>
      <c r="D12" s="301" t="s">
        <v>37</v>
      </c>
      <c r="E12" s="77"/>
      <c r="F12" s="37"/>
      <c r="G12" s="78"/>
      <c r="H12" s="478">
        <f>SUM(H8:H11)</f>
        <v>1000</v>
      </c>
      <c r="I12" s="79">
        <f>SUM(I8:I11)</f>
        <v>4888.8</v>
      </c>
      <c r="J12" s="301" t="s">
        <v>81</v>
      </c>
      <c r="K12" s="37"/>
      <c r="L12" s="280"/>
      <c r="M12" s="280"/>
      <c r="N12" s="281">
        <f>I12/H12</f>
        <v>4.8888</v>
      </c>
      <c r="O12" s="282" t="s">
        <v>82</v>
      </c>
      <c r="P12" s="28"/>
      <c r="Q12" s="73"/>
    </row>
    <row r="13" spans="1:17" ht="16.5" thickBot="1" thickTop="1">
      <c r="A13" s="3"/>
      <c r="B13" s="17">
        <v>8</v>
      </c>
      <c r="C13" s="1"/>
      <c r="D13" s="5" t="s">
        <v>83</v>
      </c>
      <c r="E13" s="5"/>
      <c r="F13" s="80"/>
      <c r="G13" s="81"/>
      <c r="H13" s="370">
        <v>1</v>
      </c>
      <c r="I13" s="82"/>
      <c r="J13" s="83">
        <v>13</v>
      </c>
      <c r="K13" s="84"/>
      <c r="L13" s="291" t="s">
        <v>84</v>
      </c>
      <c r="M13" s="283"/>
      <c r="N13" s="284"/>
      <c r="O13" s="86">
        <v>23.1</v>
      </c>
      <c r="P13" s="87"/>
      <c r="Q13" s="10"/>
    </row>
    <row r="14" spans="1:17" ht="16.5" thickBot="1" thickTop="1">
      <c r="A14" s="3"/>
      <c r="B14" s="17">
        <v>9</v>
      </c>
      <c r="C14" s="1"/>
      <c r="D14" s="1" t="s">
        <v>85</v>
      </c>
      <c r="E14" s="1"/>
      <c r="F14" s="88"/>
      <c r="G14" s="89"/>
      <c r="H14" s="90">
        <f>H12/H13</f>
        <v>1000</v>
      </c>
      <c r="I14" s="91"/>
      <c r="J14" s="92">
        <v>14</v>
      </c>
      <c r="K14" s="93"/>
      <c r="L14" s="292" t="s">
        <v>46</v>
      </c>
      <c r="M14" s="285"/>
      <c r="N14" s="286"/>
      <c r="O14" s="570">
        <v>0.954</v>
      </c>
      <c r="P14" s="87"/>
      <c r="Q14" s="10"/>
    </row>
    <row r="15" spans="1:17" ht="16.5" thickBot="1" thickTop="1">
      <c r="A15" s="3"/>
      <c r="B15" s="17">
        <v>10</v>
      </c>
      <c r="C15" s="1"/>
      <c r="D15" s="1" t="s">
        <v>86</v>
      </c>
      <c r="E15" s="1"/>
      <c r="F15" s="96"/>
      <c r="G15" s="97"/>
      <c r="H15" s="22">
        <v>12</v>
      </c>
      <c r="I15" s="98"/>
      <c r="J15" s="92">
        <v>15</v>
      </c>
      <c r="K15" s="93"/>
      <c r="L15" s="366" t="s">
        <v>22</v>
      </c>
      <c r="M15" s="287"/>
      <c r="N15" s="288"/>
      <c r="O15" s="570">
        <v>0.255</v>
      </c>
      <c r="P15" s="87"/>
      <c r="Q15" s="10"/>
    </row>
    <row r="16" spans="1:17" ht="16.5" thickBot="1" thickTop="1">
      <c r="A16" s="3"/>
      <c r="B16" s="76">
        <v>11</v>
      </c>
      <c r="C16" s="2"/>
      <c r="D16" s="2" t="s">
        <v>103</v>
      </c>
      <c r="E16" s="2"/>
      <c r="F16" s="100"/>
      <c r="G16" s="101">
        <v>0.33</v>
      </c>
      <c r="H16" s="102"/>
      <c r="I16" s="103"/>
      <c r="J16" s="104">
        <v>16</v>
      </c>
      <c r="K16" s="105"/>
      <c r="L16" s="367" t="s">
        <v>23</v>
      </c>
      <c r="M16" s="289"/>
      <c r="N16" s="290"/>
      <c r="O16" s="571">
        <v>0.64</v>
      </c>
      <c r="P16" s="106"/>
      <c r="Q16" s="10"/>
    </row>
    <row r="17" spans="1:17" ht="3" customHeight="1" thickBot="1">
      <c r="A17" s="1"/>
      <c r="B17" s="84"/>
      <c r="C17" s="5"/>
      <c r="D17" s="5"/>
      <c r="E17" s="5"/>
      <c r="F17" s="44"/>
      <c r="G17" s="44"/>
      <c r="H17" s="44"/>
      <c r="I17" s="323"/>
      <c r="J17" s="323"/>
      <c r="K17" s="323"/>
      <c r="L17" s="323"/>
      <c r="M17" s="323"/>
      <c r="N17" s="323"/>
      <c r="O17" s="323"/>
      <c r="P17" s="5"/>
      <c r="Q17" s="1"/>
    </row>
    <row r="18" spans="1:17" ht="15.75" thickBot="1">
      <c r="A18" s="107" t="s">
        <v>143</v>
      </c>
      <c r="B18" s="1"/>
      <c r="C18" s="1"/>
      <c r="D18" s="1"/>
      <c r="E18" s="3"/>
      <c r="F18" s="108" t="s">
        <v>144</v>
      </c>
      <c r="G18" s="109" t="s">
        <v>145</v>
      </c>
      <c r="H18" s="352" t="s">
        <v>146</v>
      </c>
      <c r="I18" s="329" t="s">
        <v>147</v>
      </c>
      <c r="J18" s="330" t="s">
        <v>148</v>
      </c>
      <c r="K18" s="330"/>
      <c r="L18" s="330" t="s">
        <v>149</v>
      </c>
      <c r="M18" s="330"/>
      <c r="N18" s="330" t="s">
        <v>150</v>
      </c>
      <c r="O18" s="357" t="s">
        <v>151</v>
      </c>
      <c r="P18" s="322"/>
      <c r="Q18" s="110"/>
    </row>
    <row r="19" spans="1:17" ht="16.5" thickBot="1" thickTop="1">
      <c r="A19" s="1"/>
      <c r="B19" s="93" t="s">
        <v>152</v>
      </c>
      <c r="C19" s="232" t="s">
        <v>153</v>
      </c>
      <c r="D19" s="232"/>
      <c r="E19" s="111" t="s">
        <v>154</v>
      </c>
      <c r="F19" s="21">
        <v>1</v>
      </c>
      <c r="G19" s="112">
        <f>I12</f>
        <v>4888.8</v>
      </c>
      <c r="H19" s="113">
        <f>H6</f>
        <v>2</v>
      </c>
      <c r="I19" s="353">
        <f>(J19*100)/N$12</f>
        <v>200</v>
      </c>
      <c r="J19" s="354">
        <f>N19/H$12</f>
        <v>9.7776</v>
      </c>
      <c r="K19" s="354"/>
      <c r="L19" s="355">
        <f>N19/H$13</f>
        <v>9777.6</v>
      </c>
      <c r="M19" s="355"/>
      <c r="N19" s="355">
        <f>H19*G19*F19</f>
        <v>9777.6</v>
      </c>
      <c r="O19" s="356">
        <f>N19/N$23</f>
        <v>1</v>
      </c>
      <c r="P19" s="10"/>
      <c r="Q19" s="114"/>
    </row>
    <row r="20" spans="1:17" ht="16.5" thickBot="1" thickTop="1">
      <c r="A20" s="1"/>
      <c r="B20" s="93" t="s">
        <v>155</v>
      </c>
      <c r="C20" s="232" t="s">
        <v>113</v>
      </c>
      <c r="D20" s="232"/>
      <c r="E20" s="111" t="s">
        <v>154</v>
      </c>
      <c r="F20" s="21">
        <v>0</v>
      </c>
      <c r="G20" s="115">
        <f>(F20*G19)/O15</f>
        <v>0</v>
      </c>
      <c r="H20" s="22">
        <v>0.1</v>
      </c>
      <c r="I20" s="116">
        <f>(J20*100)/N$12</f>
        <v>0</v>
      </c>
      <c r="J20" s="117">
        <f>N20/H$12</f>
        <v>0</v>
      </c>
      <c r="K20" s="118"/>
      <c r="L20" s="119">
        <f>N20/H$13</f>
        <v>0</v>
      </c>
      <c r="M20" s="119"/>
      <c r="N20" s="119">
        <f>G20*H20</f>
        <v>0</v>
      </c>
      <c r="O20" s="120">
        <f>N20/N$23</f>
        <v>0</v>
      </c>
      <c r="P20" s="10"/>
      <c r="Q20" s="114"/>
    </row>
    <row r="21" spans="1:17" ht="16.5" thickBot="1" thickTop="1">
      <c r="A21" s="1"/>
      <c r="B21" s="93" t="s">
        <v>114</v>
      </c>
      <c r="C21" s="232" t="s">
        <v>115</v>
      </c>
      <c r="D21" s="232"/>
      <c r="E21" s="121" t="s">
        <v>154</v>
      </c>
      <c r="F21" s="122">
        <f>1-(F19+F20)</f>
        <v>0</v>
      </c>
      <c r="G21" s="123">
        <f>F21*G19*O16</f>
        <v>0</v>
      </c>
      <c r="H21" s="22">
        <v>1.6</v>
      </c>
      <c r="I21" s="116">
        <f>(J21*100)/N$12</f>
        <v>0</v>
      </c>
      <c r="J21" s="117">
        <f>N21/H$12</f>
        <v>0</v>
      </c>
      <c r="K21" s="118"/>
      <c r="L21" s="119">
        <f>N21/H$13</f>
        <v>0</v>
      </c>
      <c r="M21" s="119"/>
      <c r="N21" s="124">
        <f>G21*H21</f>
        <v>0</v>
      </c>
      <c r="O21" s="120">
        <f>N21/N$23</f>
        <v>0</v>
      </c>
      <c r="P21" s="10"/>
      <c r="Q21" s="114"/>
    </row>
    <row r="22" spans="1:17" ht="16.5" thickBot="1" thickTop="1">
      <c r="A22" s="1"/>
      <c r="B22" s="359" t="s">
        <v>116</v>
      </c>
      <c r="C22" s="306" t="s">
        <v>24</v>
      </c>
      <c r="D22" s="306"/>
      <c r="E22" s="306"/>
      <c r="F22" s="323"/>
      <c r="G22" s="125"/>
      <c r="H22" s="126"/>
      <c r="I22" s="127">
        <f>(J22*100)/N12</f>
        <v>0</v>
      </c>
      <c r="J22" s="128">
        <f>N22/H12</f>
        <v>0</v>
      </c>
      <c r="K22" s="128"/>
      <c r="L22" s="181">
        <f>N22/H13</f>
        <v>0</v>
      </c>
      <c r="M22" s="511"/>
      <c r="N22" s="512">
        <v>0</v>
      </c>
      <c r="O22" s="129">
        <f>N22/N$23</f>
        <v>0</v>
      </c>
      <c r="P22" s="10"/>
      <c r="Q22" s="114"/>
    </row>
    <row r="23" spans="1:17" ht="15.75" thickTop="1">
      <c r="A23" s="321"/>
      <c r="B23" s="365"/>
      <c r="C23" s="361"/>
      <c r="D23" s="362"/>
      <c r="E23" s="363" t="s">
        <v>25</v>
      </c>
      <c r="F23" s="364">
        <f>I23/100</f>
        <v>2</v>
      </c>
      <c r="G23" s="358"/>
      <c r="H23" s="130" t="s">
        <v>26</v>
      </c>
      <c r="I23" s="131">
        <f>SUM(I19:I22)</f>
        <v>200</v>
      </c>
      <c r="J23" s="132">
        <f>SUM(J19:J22)</f>
        <v>9.7776</v>
      </c>
      <c r="K23" s="133"/>
      <c r="L23" s="134">
        <f>SUM(L19:L22)</f>
        <v>9777.6</v>
      </c>
      <c r="M23" s="134"/>
      <c r="N23" s="135">
        <f>SUM(N19:N22)</f>
        <v>9777.6</v>
      </c>
      <c r="O23" s="136">
        <f>N23/N$23</f>
        <v>1</v>
      </c>
      <c r="P23" s="1"/>
      <c r="Q23" s="114"/>
    </row>
    <row r="24" spans="1:17" ht="16.5" customHeight="1" thickBot="1">
      <c r="A24" s="107" t="s">
        <v>27</v>
      </c>
      <c r="B24" s="360"/>
      <c r="C24" s="360"/>
      <c r="D24" s="360"/>
      <c r="E24" s="360"/>
      <c r="F24" s="360"/>
      <c r="G24" s="16"/>
      <c r="H24" s="2"/>
      <c r="I24" s="306"/>
      <c r="J24" s="306"/>
      <c r="K24" s="306"/>
      <c r="L24" s="349"/>
      <c r="M24" s="350"/>
      <c r="N24" s="350"/>
      <c r="O24" s="351"/>
      <c r="P24" s="1"/>
      <c r="Q24" s="137"/>
    </row>
    <row r="25" spans="1:17" ht="15.75" thickBot="1">
      <c r="A25" s="1"/>
      <c r="B25" s="93" t="s">
        <v>152</v>
      </c>
      <c r="C25" s="1" t="s">
        <v>68</v>
      </c>
      <c r="D25" s="1"/>
      <c r="E25" s="138"/>
      <c r="F25" s="139"/>
      <c r="G25" s="140" t="s">
        <v>69</v>
      </c>
      <c r="H25" s="344" t="s">
        <v>146</v>
      </c>
      <c r="I25" s="329" t="s">
        <v>147</v>
      </c>
      <c r="J25" s="330" t="s">
        <v>148</v>
      </c>
      <c r="K25" s="330"/>
      <c r="L25" s="331" t="s">
        <v>149</v>
      </c>
      <c r="M25" s="331"/>
      <c r="N25" s="331" t="s">
        <v>150</v>
      </c>
      <c r="O25" s="332" t="s">
        <v>151</v>
      </c>
      <c r="P25" s="1"/>
      <c r="Q25" s="110"/>
    </row>
    <row r="26" spans="1:17" ht="15.75" thickBot="1">
      <c r="A26" s="1"/>
      <c r="B26" s="1">
        <v>1</v>
      </c>
      <c r="C26" s="15"/>
      <c r="D26" s="141" t="s">
        <v>70</v>
      </c>
      <c r="E26" s="141"/>
      <c r="F26" s="141"/>
      <c r="G26" s="142"/>
      <c r="H26" s="143" t="s">
        <v>71</v>
      </c>
      <c r="I26" s="504">
        <f>SUM(I27:I29)</f>
        <v>36.737031582392405</v>
      </c>
      <c r="J26" s="493">
        <f>SUM(J27:J29)</f>
        <v>1.7959999999999998</v>
      </c>
      <c r="K26" s="493"/>
      <c r="L26" s="494">
        <f>SUM(L27:L29)</f>
        <v>1795.9999999999998</v>
      </c>
      <c r="M26" s="494"/>
      <c r="N26" s="494">
        <f>SUM(N27:N29)</f>
        <v>1795.9999999999998</v>
      </c>
      <c r="O26" s="328">
        <f>N26/N$23</f>
        <v>0.183685157911962</v>
      </c>
      <c r="P26" s="1"/>
      <c r="Q26" s="114"/>
    </row>
    <row r="27" spans="1:17" ht="16.5" thickBot="1" thickTop="1">
      <c r="A27" s="1"/>
      <c r="B27" s="1"/>
      <c r="C27" s="15"/>
      <c r="D27" s="94" t="s">
        <v>72</v>
      </c>
      <c r="E27" s="1"/>
      <c r="F27" s="99"/>
      <c r="G27" s="370">
        <v>1.4</v>
      </c>
      <c r="H27" s="22">
        <v>0.76</v>
      </c>
      <c r="I27" s="144">
        <f>(J27*100)/N$12</f>
        <v>21.76403207331042</v>
      </c>
      <c r="J27" s="145">
        <f>H27*G27</f>
        <v>1.0639999999999998</v>
      </c>
      <c r="K27" s="145"/>
      <c r="L27" s="146">
        <f>N27/H$13</f>
        <v>1063.9999999999998</v>
      </c>
      <c r="M27" s="146"/>
      <c r="N27" s="146">
        <f>(G27*H27)*H$12</f>
        <v>1063.9999999999998</v>
      </c>
      <c r="O27" s="147">
        <f>N27/N$23</f>
        <v>0.1088201603665521</v>
      </c>
      <c r="P27" s="148"/>
      <c r="Q27" s="137"/>
    </row>
    <row r="28" spans="1:17" ht="16.5" thickBot="1" thickTop="1">
      <c r="A28" s="1"/>
      <c r="B28" s="1"/>
      <c r="C28" s="15"/>
      <c r="D28" s="94" t="s">
        <v>73</v>
      </c>
      <c r="E28" s="1"/>
      <c r="F28" s="99"/>
      <c r="G28" s="370">
        <v>8</v>
      </c>
      <c r="H28" s="22">
        <v>25</v>
      </c>
      <c r="I28" s="116">
        <f>(J28*100)/N$12</f>
        <v>4.090983472426772</v>
      </c>
      <c r="J28" s="117">
        <f>L28/$H$14</f>
        <v>0.2</v>
      </c>
      <c r="K28" s="117"/>
      <c r="L28" s="119">
        <f>N28/H$13</f>
        <v>200</v>
      </c>
      <c r="M28" s="119"/>
      <c r="N28" s="119">
        <f>H28*G28</f>
        <v>200</v>
      </c>
      <c r="O28" s="149">
        <f>N28/N$23</f>
        <v>0.020454917362133857</v>
      </c>
      <c r="P28" s="148"/>
      <c r="Q28" s="137"/>
    </row>
    <row r="29" spans="1:17" ht="15" customHeight="1" thickBot="1" thickTop="1">
      <c r="A29" s="1"/>
      <c r="B29" s="1"/>
      <c r="C29" s="15"/>
      <c r="D29" s="501" t="s">
        <v>74</v>
      </c>
      <c r="E29" s="150"/>
      <c r="F29" s="151"/>
      <c r="G29" s="370">
        <v>2</v>
      </c>
      <c r="H29" s="152">
        <f>$H$15*(1+$G$16)</f>
        <v>15.96</v>
      </c>
      <c r="I29" s="153">
        <f>(J29*100)/N$12</f>
        <v>10.882016036655212</v>
      </c>
      <c r="J29" s="154">
        <f>L29/$H$14</f>
        <v>0.532</v>
      </c>
      <c r="K29" s="154"/>
      <c r="L29" s="155">
        <f>N29/H$13</f>
        <v>532</v>
      </c>
      <c r="M29" s="155"/>
      <c r="N29" s="155">
        <f>(G29/60)*H29*H$12</f>
        <v>532</v>
      </c>
      <c r="O29" s="156">
        <f>N29/N$23</f>
        <v>0.05441008018327606</v>
      </c>
      <c r="P29" s="148"/>
      <c r="Q29" s="137"/>
    </row>
    <row r="30" spans="1:17" ht="3" customHeight="1" thickTop="1">
      <c r="A30" s="1"/>
      <c r="B30" s="1"/>
      <c r="C30" s="15"/>
      <c r="D30" s="150"/>
      <c r="E30" s="150"/>
      <c r="F30" s="150"/>
      <c r="G30" s="157"/>
      <c r="H30" s="158"/>
      <c r="I30" s="159"/>
      <c r="J30" s="158"/>
      <c r="K30" s="158"/>
      <c r="L30" s="160"/>
      <c r="M30" s="160"/>
      <c r="N30" s="160"/>
      <c r="O30" s="161"/>
      <c r="P30" s="1"/>
      <c r="Q30" s="137"/>
    </row>
    <row r="31" spans="1:17" ht="15.75" thickBot="1">
      <c r="A31" s="1"/>
      <c r="B31" s="1">
        <v>2</v>
      </c>
      <c r="C31" s="1"/>
      <c r="D31" s="141" t="s">
        <v>75</v>
      </c>
      <c r="E31" s="141"/>
      <c r="F31" s="141"/>
      <c r="G31" s="162"/>
      <c r="H31" s="163" t="s">
        <v>76</v>
      </c>
      <c r="I31" s="495">
        <f>SUM(I32:I34)</f>
        <v>18.184421534937</v>
      </c>
      <c r="J31" s="496">
        <f>SUM(J32:J34)</f>
        <v>0.889</v>
      </c>
      <c r="K31" s="496"/>
      <c r="L31" s="498">
        <f>SUM(L32:L34)</f>
        <v>889</v>
      </c>
      <c r="M31" s="498"/>
      <c r="N31" s="498">
        <f>SUM(N32:N34)</f>
        <v>889</v>
      </c>
      <c r="O31" s="164">
        <f>N31/N$23</f>
        <v>0.09092210767468499</v>
      </c>
      <c r="P31" s="1"/>
      <c r="Q31" s="114"/>
    </row>
    <row r="32" spans="1:17" ht="16.5" thickBot="1" thickTop="1">
      <c r="A32" s="1"/>
      <c r="B32" s="1"/>
      <c r="C32" s="1"/>
      <c r="D32" s="94" t="s">
        <v>77</v>
      </c>
      <c r="E32" s="1"/>
      <c r="F32" s="99"/>
      <c r="G32" s="63">
        <v>245</v>
      </c>
      <c r="H32" s="22">
        <v>2</v>
      </c>
      <c r="I32" s="144">
        <f>(J32*100)/N$12</f>
        <v>10.02290950744559</v>
      </c>
      <c r="J32" s="165">
        <f>L32/$H$14</f>
        <v>0.49</v>
      </c>
      <c r="K32" s="165"/>
      <c r="L32" s="146">
        <f>N32/$H$13</f>
        <v>490</v>
      </c>
      <c r="M32" s="146"/>
      <c r="N32" s="146">
        <f>H32*G32</f>
        <v>490</v>
      </c>
      <c r="O32" s="147">
        <f>N32/N$23</f>
        <v>0.050114547537227945</v>
      </c>
      <c r="P32" s="148"/>
      <c r="Q32" s="137"/>
    </row>
    <row r="33" spans="1:17" ht="16.5" thickBot="1" thickTop="1">
      <c r="A33" s="1"/>
      <c r="B33" s="1"/>
      <c r="C33" s="1"/>
      <c r="D33" s="501" t="s">
        <v>78</v>
      </c>
      <c r="E33" s="150"/>
      <c r="F33" s="151"/>
      <c r="G33" s="370">
        <v>0</v>
      </c>
      <c r="H33" s="22">
        <v>0</v>
      </c>
      <c r="I33" s="116">
        <f>(J33*100)/N$12</f>
        <v>0</v>
      </c>
      <c r="J33" s="118">
        <f>L33/$H$14</f>
        <v>0</v>
      </c>
      <c r="K33" s="118"/>
      <c r="L33" s="119">
        <f>N33/$H$13</f>
        <v>0</v>
      </c>
      <c r="M33" s="119"/>
      <c r="N33" s="119">
        <f>H33*G33</f>
        <v>0</v>
      </c>
      <c r="O33" s="149">
        <f>N33/N$23</f>
        <v>0</v>
      </c>
      <c r="P33" s="148"/>
      <c r="Q33" s="137"/>
    </row>
    <row r="34" spans="1:17" ht="16.5" thickBot="1" thickTop="1">
      <c r="A34" s="1"/>
      <c r="B34" s="1"/>
      <c r="C34" s="1"/>
      <c r="D34" s="501" t="s">
        <v>47</v>
      </c>
      <c r="E34" s="150"/>
      <c r="F34" s="151"/>
      <c r="G34" s="370">
        <v>25</v>
      </c>
      <c r="H34" s="152">
        <f>$H$15*(1+$G$16)</f>
        <v>15.96</v>
      </c>
      <c r="I34" s="153">
        <f>(J34*100)/N$12</f>
        <v>8.16151202749141</v>
      </c>
      <c r="J34" s="314">
        <f>L34/$H$14</f>
        <v>0.399</v>
      </c>
      <c r="K34" s="314"/>
      <c r="L34" s="311">
        <f>N34/$H$13</f>
        <v>399</v>
      </c>
      <c r="M34" s="155"/>
      <c r="N34" s="311">
        <f>H34*G34</f>
        <v>399</v>
      </c>
      <c r="O34" s="156">
        <f>N34/N$23</f>
        <v>0.040807560137457045</v>
      </c>
      <c r="P34" s="148"/>
      <c r="Q34" s="137"/>
    </row>
    <row r="35" spans="1:17" ht="3" customHeight="1" thickTop="1">
      <c r="A35" s="1"/>
      <c r="B35" s="1"/>
      <c r="C35" s="1"/>
      <c r="D35" s="150"/>
      <c r="E35" s="150"/>
      <c r="F35" s="150"/>
      <c r="G35" s="167"/>
      <c r="H35" s="158"/>
      <c r="I35" s="313"/>
      <c r="J35" s="315"/>
      <c r="K35" s="315"/>
      <c r="L35" s="316"/>
      <c r="M35" s="317"/>
      <c r="N35" s="319"/>
      <c r="O35" s="318"/>
      <c r="P35" s="1"/>
      <c r="Q35" s="137"/>
    </row>
    <row r="36" spans="1:17" ht="15.75" thickBot="1">
      <c r="A36" s="1"/>
      <c r="B36" s="1">
        <v>3</v>
      </c>
      <c r="C36" s="1"/>
      <c r="D36" s="141" t="s">
        <v>48</v>
      </c>
      <c r="E36" s="141"/>
      <c r="F36" s="141"/>
      <c r="G36" s="162"/>
      <c r="H36" s="163" t="s">
        <v>49</v>
      </c>
      <c r="I36" s="495">
        <f>SUM(I37:I39)</f>
        <v>0</v>
      </c>
      <c r="J36" s="493">
        <f>SUM(J37:J39)</f>
        <v>0</v>
      </c>
      <c r="K36" s="493"/>
      <c r="L36" s="494">
        <f>SUM(L37:L39)</f>
        <v>0</v>
      </c>
      <c r="M36" s="498"/>
      <c r="N36" s="494">
        <f>SUM(N37:N39)</f>
        <v>0</v>
      </c>
      <c r="O36" s="164">
        <f>N36/N$23</f>
        <v>0</v>
      </c>
      <c r="P36" s="1"/>
      <c r="Q36" s="114"/>
    </row>
    <row r="37" spans="1:17" ht="16.5" thickBot="1" thickTop="1">
      <c r="A37" s="1"/>
      <c r="B37" s="1"/>
      <c r="C37" s="1"/>
      <c r="D37" s="94" t="s">
        <v>50</v>
      </c>
      <c r="E37" s="1"/>
      <c r="F37" s="99"/>
      <c r="G37" s="370">
        <v>0</v>
      </c>
      <c r="H37" s="22">
        <v>10</v>
      </c>
      <c r="I37" s="144">
        <f>(J37*100)/N$12</f>
        <v>0</v>
      </c>
      <c r="J37" s="165">
        <f>L37/$H$14</f>
        <v>0</v>
      </c>
      <c r="K37" s="165"/>
      <c r="L37" s="146">
        <f>N37/$H$13</f>
        <v>0</v>
      </c>
      <c r="M37" s="146"/>
      <c r="N37" s="146">
        <f>H37*G37</f>
        <v>0</v>
      </c>
      <c r="O37" s="147">
        <f>N37/N$23</f>
        <v>0</v>
      </c>
      <c r="P37" s="148"/>
      <c r="Q37" s="114"/>
    </row>
    <row r="38" spans="1:17" ht="16.5" thickBot="1" thickTop="1">
      <c r="A38" s="1"/>
      <c r="B38" s="1"/>
      <c r="C38" s="1"/>
      <c r="D38" s="94" t="s">
        <v>104</v>
      </c>
      <c r="E38" s="1"/>
      <c r="F38" s="99"/>
      <c r="G38" s="370">
        <v>0</v>
      </c>
      <c r="H38" s="22">
        <v>10</v>
      </c>
      <c r="I38" s="116">
        <f>(J38*100)/N$12</f>
        <v>0</v>
      </c>
      <c r="J38" s="118">
        <f>L38/$H$14</f>
        <v>0</v>
      </c>
      <c r="K38" s="118"/>
      <c r="L38" s="119">
        <f>N38/$H$13</f>
        <v>0</v>
      </c>
      <c r="M38" s="119"/>
      <c r="N38" s="119">
        <f>H38*G38</f>
        <v>0</v>
      </c>
      <c r="O38" s="149">
        <f>N38/N$23</f>
        <v>0</v>
      </c>
      <c r="P38" s="148"/>
      <c r="Q38" s="137"/>
    </row>
    <row r="39" spans="1:17" ht="16.5" thickBot="1" thickTop="1">
      <c r="A39" s="1"/>
      <c r="B39" s="1"/>
      <c r="C39" s="1"/>
      <c r="D39" s="501" t="s">
        <v>105</v>
      </c>
      <c r="E39" s="150"/>
      <c r="F39" s="151"/>
      <c r="G39" s="370">
        <v>0</v>
      </c>
      <c r="H39" s="152">
        <f>$H$15*(1+$G$16)</f>
        <v>15.96</v>
      </c>
      <c r="I39" s="153">
        <f>(J39*100)/N$12</f>
        <v>0</v>
      </c>
      <c r="J39" s="166">
        <f>(G39/60)*H39</f>
        <v>0</v>
      </c>
      <c r="K39" s="166"/>
      <c r="L39" s="155">
        <f>N39/H$13</f>
        <v>0</v>
      </c>
      <c r="M39" s="155"/>
      <c r="N39" s="155">
        <f>(G39/60)*H39*H$12</f>
        <v>0</v>
      </c>
      <c r="O39" s="156">
        <f>N39/N$23</f>
        <v>0</v>
      </c>
      <c r="P39" s="148"/>
      <c r="Q39" s="137"/>
    </row>
    <row r="40" spans="1:17" ht="3" customHeight="1" thickTop="1">
      <c r="A40" s="1"/>
      <c r="B40" s="1"/>
      <c r="C40" s="1"/>
      <c r="D40" s="150"/>
      <c r="E40" s="150"/>
      <c r="F40" s="150"/>
      <c r="G40" s="167"/>
      <c r="H40" s="171"/>
      <c r="I40" s="168"/>
      <c r="J40" s="158"/>
      <c r="K40" s="158"/>
      <c r="L40" s="160"/>
      <c r="M40" s="160"/>
      <c r="N40" s="169"/>
      <c r="O40" s="170"/>
      <c r="P40" s="1"/>
      <c r="Q40" s="137"/>
    </row>
    <row r="41" spans="1:17" ht="15.75" thickBot="1">
      <c r="A41" s="1"/>
      <c r="B41" s="1">
        <v>4</v>
      </c>
      <c r="C41" s="1"/>
      <c r="D41" s="141" t="s">
        <v>106</v>
      </c>
      <c r="E41" s="141"/>
      <c r="F41" s="141"/>
      <c r="G41" s="162"/>
      <c r="H41" s="163" t="s">
        <v>107</v>
      </c>
      <c r="I41" s="495">
        <f>SUM(I42:I44)</f>
        <v>7.077401407298314</v>
      </c>
      <c r="J41" s="502">
        <f>SUM(J42:J44)</f>
        <v>0.34600000000000003</v>
      </c>
      <c r="K41" s="503"/>
      <c r="L41" s="498">
        <f>SUM(L42:L44)</f>
        <v>346</v>
      </c>
      <c r="M41" s="498"/>
      <c r="N41" s="498">
        <f>SUM(N42:N44)</f>
        <v>346</v>
      </c>
      <c r="O41" s="164">
        <f>N41/N$23</f>
        <v>0.03538700703649157</v>
      </c>
      <c r="P41" s="1"/>
      <c r="Q41" s="114"/>
    </row>
    <row r="42" spans="1:17" ht="16.5" thickBot="1" thickTop="1">
      <c r="A42" s="1"/>
      <c r="B42" s="1"/>
      <c r="C42" s="1"/>
      <c r="D42" s="94" t="s">
        <v>50</v>
      </c>
      <c r="E42" s="1"/>
      <c r="F42" s="99"/>
      <c r="G42" s="370">
        <v>0</v>
      </c>
      <c r="H42" s="22">
        <v>2</v>
      </c>
      <c r="I42" s="144">
        <f>(J42*100)/N$12</f>
        <v>0</v>
      </c>
      <c r="J42" s="165">
        <f>L42/$H$14</f>
        <v>0</v>
      </c>
      <c r="K42" s="165"/>
      <c r="L42" s="146">
        <f>N42/$H$13</f>
        <v>0</v>
      </c>
      <c r="M42" s="146"/>
      <c r="N42" s="160">
        <f>H42*G42</f>
        <v>0</v>
      </c>
      <c r="O42" s="147">
        <f>N42/N$23</f>
        <v>0</v>
      </c>
      <c r="P42" s="148"/>
      <c r="Q42" s="137"/>
    </row>
    <row r="43" spans="1:17" ht="16.5" thickBot="1" thickTop="1">
      <c r="A43" s="1"/>
      <c r="B43" s="1"/>
      <c r="C43" s="1"/>
      <c r="D43" s="94" t="s">
        <v>104</v>
      </c>
      <c r="E43" s="1"/>
      <c r="F43" s="99"/>
      <c r="G43" s="370">
        <v>8</v>
      </c>
      <c r="H43" s="22">
        <v>10</v>
      </c>
      <c r="I43" s="116">
        <f>(J43*100)/N$12</f>
        <v>1.6363933889707085</v>
      </c>
      <c r="J43" s="118">
        <f>L43/$H$14</f>
        <v>0.08</v>
      </c>
      <c r="K43" s="118"/>
      <c r="L43" s="119">
        <f>N43/$H$13</f>
        <v>80</v>
      </c>
      <c r="M43" s="119"/>
      <c r="N43" s="119">
        <f>H43*G43</f>
        <v>80</v>
      </c>
      <c r="O43" s="149">
        <f>N43/N$23</f>
        <v>0.008181966944853543</v>
      </c>
      <c r="P43" s="148"/>
      <c r="Q43" s="137"/>
    </row>
    <row r="44" spans="1:17" ht="16.5" thickBot="1" thickTop="1">
      <c r="A44" s="1"/>
      <c r="B44" s="1"/>
      <c r="C44" s="1"/>
      <c r="D44" s="501" t="s">
        <v>105</v>
      </c>
      <c r="E44" s="150"/>
      <c r="F44" s="151"/>
      <c r="G44" s="370">
        <v>1</v>
      </c>
      <c r="H44" s="152">
        <f>$H$15*(1+$G$16)</f>
        <v>15.96</v>
      </c>
      <c r="I44" s="153">
        <f>(J44*100)/N$12</f>
        <v>5.441008018327606</v>
      </c>
      <c r="J44" s="166">
        <f>(G44/60)*H44</f>
        <v>0.266</v>
      </c>
      <c r="K44" s="166"/>
      <c r="L44" s="155">
        <f>N44/H$13</f>
        <v>266</v>
      </c>
      <c r="M44" s="155"/>
      <c r="N44" s="155">
        <f>(G44/60)*H44*H$12</f>
        <v>266</v>
      </c>
      <c r="O44" s="156">
        <f>N44/N$23</f>
        <v>0.02720504009163803</v>
      </c>
      <c r="P44" s="148"/>
      <c r="Q44" s="137"/>
    </row>
    <row r="45" spans="1:17" ht="3" customHeight="1" thickTop="1">
      <c r="A45" s="1"/>
      <c r="B45" s="1"/>
      <c r="C45" s="1"/>
      <c r="D45" s="150"/>
      <c r="E45" s="150"/>
      <c r="F45" s="150"/>
      <c r="G45" s="167"/>
      <c r="H45" s="158"/>
      <c r="I45" s="168"/>
      <c r="J45" s="158"/>
      <c r="K45" s="158"/>
      <c r="L45" s="160"/>
      <c r="M45" s="160"/>
      <c r="N45" s="169"/>
      <c r="O45" s="170"/>
      <c r="P45" s="1"/>
      <c r="Q45" s="137"/>
    </row>
    <row r="46" spans="1:17" ht="15.75" thickBot="1">
      <c r="A46" s="1"/>
      <c r="B46" s="1">
        <v>5</v>
      </c>
      <c r="C46" s="1"/>
      <c r="D46" s="141" t="s">
        <v>108</v>
      </c>
      <c r="E46" s="141"/>
      <c r="F46" s="141"/>
      <c r="G46" s="162"/>
      <c r="H46" s="172" t="s">
        <v>109</v>
      </c>
      <c r="I46" s="495">
        <f>I47+I48</f>
        <v>11.426116838487975</v>
      </c>
      <c r="J46" s="496">
        <f>J47+J48</f>
        <v>0.5586000000000001</v>
      </c>
      <c r="K46" s="496"/>
      <c r="L46" s="498">
        <f>L47+L48</f>
        <v>558.6000000000001</v>
      </c>
      <c r="M46" s="498"/>
      <c r="N46" s="498">
        <f>N47+N48</f>
        <v>558.6000000000001</v>
      </c>
      <c r="O46" s="164">
        <f>N46/N$23</f>
        <v>0.057130584192439875</v>
      </c>
      <c r="P46" s="1"/>
      <c r="Q46" s="114"/>
    </row>
    <row r="47" spans="1:17" ht="13.5" customHeight="1" thickBot="1" thickTop="1">
      <c r="A47" s="1"/>
      <c r="B47" s="1"/>
      <c r="C47" s="1"/>
      <c r="D47" s="94" t="s">
        <v>104</v>
      </c>
      <c r="E47" s="1"/>
      <c r="F47" s="99"/>
      <c r="G47" s="370">
        <v>0</v>
      </c>
      <c r="H47" s="22">
        <v>5</v>
      </c>
      <c r="I47" s="144">
        <f>(J47*100)/N$12</f>
        <v>0</v>
      </c>
      <c r="J47" s="165">
        <f>L47/$H$14</f>
        <v>0</v>
      </c>
      <c r="K47" s="165"/>
      <c r="L47" s="146">
        <f>N47/$H$13</f>
        <v>0</v>
      </c>
      <c r="M47" s="146"/>
      <c r="N47" s="146">
        <f>H47*G47</f>
        <v>0</v>
      </c>
      <c r="O47" s="147">
        <f>N47/N$23</f>
        <v>0</v>
      </c>
      <c r="P47" s="148"/>
      <c r="Q47" s="114"/>
    </row>
    <row r="48" spans="1:17" ht="16.5" thickBot="1" thickTop="1">
      <c r="A48" s="1"/>
      <c r="B48" s="1"/>
      <c r="C48" s="1"/>
      <c r="D48" s="501" t="s">
        <v>105</v>
      </c>
      <c r="E48" s="150"/>
      <c r="F48" s="151"/>
      <c r="G48" s="370">
        <v>2.1</v>
      </c>
      <c r="H48" s="152">
        <f>$H$15*(1+$G$16)</f>
        <v>15.96</v>
      </c>
      <c r="I48" s="153">
        <f>(J48*100)/N$12</f>
        <v>11.426116838487975</v>
      </c>
      <c r="J48" s="166">
        <f>(G48/60)*H48</f>
        <v>0.5586000000000001</v>
      </c>
      <c r="K48" s="166"/>
      <c r="L48" s="155">
        <f>N48/H$13</f>
        <v>558.6000000000001</v>
      </c>
      <c r="M48" s="155"/>
      <c r="N48" s="155">
        <f>(G48/60)*H48*H$12</f>
        <v>558.6000000000001</v>
      </c>
      <c r="O48" s="156">
        <f>N48/N$23</f>
        <v>0.057130584192439875</v>
      </c>
      <c r="P48" s="148"/>
      <c r="Q48" s="114"/>
    </row>
    <row r="49" spans="1:17" ht="3" customHeight="1" thickBot="1" thickTop="1">
      <c r="A49" s="1"/>
      <c r="B49" s="1"/>
      <c r="C49" s="1"/>
      <c r="D49" s="150"/>
      <c r="E49" s="150"/>
      <c r="F49" s="150"/>
      <c r="G49" s="173"/>
      <c r="H49" s="174"/>
      <c r="I49" s="345"/>
      <c r="J49" s="346"/>
      <c r="K49" s="346"/>
      <c r="L49" s="347"/>
      <c r="M49" s="347"/>
      <c r="N49" s="347"/>
      <c r="O49" s="348"/>
      <c r="P49" s="1"/>
      <c r="Q49" s="114"/>
    </row>
    <row r="50" spans="1:17" ht="15.75" customHeight="1" thickBot="1">
      <c r="A50" s="1"/>
      <c r="B50" s="93" t="s">
        <v>110</v>
      </c>
      <c r="C50" s="1" t="s">
        <v>111</v>
      </c>
      <c r="D50" s="138"/>
      <c r="E50" s="138"/>
      <c r="F50" s="139"/>
      <c r="G50" s="140" t="s">
        <v>69</v>
      </c>
      <c r="H50" s="344" t="s">
        <v>146</v>
      </c>
      <c r="I50" s="329" t="s">
        <v>147</v>
      </c>
      <c r="J50" s="330" t="s">
        <v>148</v>
      </c>
      <c r="K50" s="330"/>
      <c r="L50" s="331" t="s">
        <v>149</v>
      </c>
      <c r="M50" s="331"/>
      <c r="N50" s="331" t="s">
        <v>150</v>
      </c>
      <c r="O50" s="332" t="s">
        <v>151</v>
      </c>
      <c r="P50" s="1"/>
      <c r="Q50" s="114"/>
    </row>
    <row r="51" spans="1:17" ht="15.75" thickBot="1">
      <c r="A51" s="1"/>
      <c r="B51" s="1">
        <v>6</v>
      </c>
      <c r="C51" s="1"/>
      <c r="D51" s="141" t="s">
        <v>44</v>
      </c>
      <c r="E51" s="141"/>
      <c r="F51" s="141"/>
      <c r="G51" s="175"/>
      <c r="H51" s="176" t="s">
        <v>42</v>
      </c>
      <c r="I51" s="504">
        <f>SUM(I52:I54)</f>
        <v>0</v>
      </c>
      <c r="J51" s="493">
        <f>SUM(J52:J54)</f>
        <v>0</v>
      </c>
      <c r="K51" s="493"/>
      <c r="L51" s="494">
        <f>SUM(L52:L54)</f>
        <v>0</v>
      </c>
      <c r="M51" s="505"/>
      <c r="N51" s="494">
        <f>SUM(N52:N54)</f>
        <v>0</v>
      </c>
      <c r="O51" s="328">
        <f>N51/N$23</f>
        <v>0</v>
      </c>
      <c r="P51" s="1"/>
      <c r="Q51" s="114"/>
    </row>
    <row r="52" spans="1:17" ht="16.5" thickBot="1" thickTop="1">
      <c r="A52" s="1"/>
      <c r="B52" s="1"/>
      <c r="C52" s="1"/>
      <c r="D52" s="94" t="s">
        <v>50</v>
      </c>
      <c r="E52" s="1"/>
      <c r="F52" s="99"/>
      <c r="G52" s="370">
        <v>0</v>
      </c>
      <c r="H52" s="22">
        <v>3</v>
      </c>
      <c r="I52" s="144">
        <f>(J52*100)/N$12</f>
        <v>0</v>
      </c>
      <c r="J52" s="165">
        <f>L52/$H$14</f>
        <v>0</v>
      </c>
      <c r="K52" s="165"/>
      <c r="L52" s="146">
        <f>N52/$H$13</f>
        <v>0</v>
      </c>
      <c r="M52" s="146"/>
      <c r="N52" s="146">
        <f>H52*G52</f>
        <v>0</v>
      </c>
      <c r="O52" s="147">
        <f>N52/N$23</f>
        <v>0</v>
      </c>
      <c r="P52" s="148"/>
      <c r="Q52" s="114"/>
    </row>
    <row r="53" spans="1:17" ht="16.5" thickBot="1" thickTop="1">
      <c r="A53" s="1"/>
      <c r="B53" s="1"/>
      <c r="C53" s="1"/>
      <c r="D53" s="94" t="s">
        <v>104</v>
      </c>
      <c r="E53" s="1"/>
      <c r="F53" s="99"/>
      <c r="G53" s="370">
        <v>0</v>
      </c>
      <c r="H53" s="22">
        <v>10</v>
      </c>
      <c r="I53" s="116">
        <f>(J53*100)/N$12</f>
        <v>0</v>
      </c>
      <c r="J53" s="118">
        <f>L53/$H$14</f>
        <v>0</v>
      </c>
      <c r="K53" s="118"/>
      <c r="L53" s="119">
        <f>N53/$H$13</f>
        <v>0</v>
      </c>
      <c r="M53" s="119"/>
      <c r="N53" s="119">
        <f>H53*G53</f>
        <v>0</v>
      </c>
      <c r="O53" s="149">
        <f>N53/N$23</f>
        <v>0</v>
      </c>
      <c r="P53" s="148"/>
      <c r="Q53" s="137"/>
    </row>
    <row r="54" spans="1:17" ht="16.5" thickBot="1" thickTop="1">
      <c r="A54" s="1"/>
      <c r="B54" s="1"/>
      <c r="C54" s="1"/>
      <c r="D54" s="501" t="s">
        <v>105</v>
      </c>
      <c r="E54" s="150"/>
      <c r="F54" s="151"/>
      <c r="G54" s="370">
        <v>0</v>
      </c>
      <c r="H54" s="152">
        <f>$H$15*(1+$G$16)</f>
        <v>15.96</v>
      </c>
      <c r="I54" s="153">
        <f>(J54*100)/N$12</f>
        <v>0</v>
      </c>
      <c r="J54" s="166">
        <f>(G54/60)*H54</f>
        <v>0</v>
      </c>
      <c r="K54" s="166"/>
      <c r="L54" s="311">
        <f>N54/H$13</f>
        <v>0</v>
      </c>
      <c r="M54" s="155"/>
      <c r="N54" s="155">
        <f>(G54/60)*H54*H$12</f>
        <v>0</v>
      </c>
      <c r="O54" s="156">
        <f>N54/N$23</f>
        <v>0</v>
      </c>
      <c r="P54" s="148"/>
      <c r="Q54" s="137"/>
    </row>
    <row r="55" spans="1:17" ht="9" customHeight="1" thickTop="1">
      <c r="A55" s="1"/>
      <c r="B55" s="1"/>
      <c r="C55" s="1"/>
      <c r="D55" s="150"/>
      <c r="E55" s="150"/>
      <c r="F55" s="150"/>
      <c r="G55" s="177"/>
      <c r="H55" s="158"/>
      <c r="I55" s="168"/>
      <c r="J55" s="158"/>
      <c r="K55" s="309"/>
      <c r="L55" s="312"/>
      <c r="M55" s="310"/>
      <c r="N55" s="169"/>
      <c r="O55" s="170"/>
      <c r="P55" s="1"/>
      <c r="Q55" s="137"/>
    </row>
    <row r="56" spans="1:17" ht="15.75" thickBot="1">
      <c r="A56" s="1"/>
      <c r="B56" s="1">
        <v>7</v>
      </c>
      <c r="C56" s="1"/>
      <c r="D56" s="141" t="s">
        <v>112</v>
      </c>
      <c r="E56" s="141"/>
      <c r="F56" s="141"/>
      <c r="G56" s="178"/>
      <c r="H56" s="172" t="s">
        <v>52</v>
      </c>
      <c r="I56" s="495">
        <f>SUM(I57:I59)</f>
        <v>0</v>
      </c>
      <c r="J56" s="496">
        <f>SUM(J58:J59)</f>
        <v>0</v>
      </c>
      <c r="K56" s="496"/>
      <c r="L56" s="494">
        <f>SUM(L57:L59)</f>
        <v>0</v>
      </c>
      <c r="M56" s="496"/>
      <c r="N56" s="494">
        <f>SUM(N57:N59)</f>
        <v>0</v>
      </c>
      <c r="O56" s="164">
        <f>N56/N$23</f>
        <v>0</v>
      </c>
      <c r="P56" s="1"/>
      <c r="Q56" s="114"/>
    </row>
    <row r="57" spans="1:17" ht="16.5" thickBot="1" thickTop="1">
      <c r="A57" s="1"/>
      <c r="B57" s="1"/>
      <c r="C57" s="1"/>
      <c r="D57" s="94" t="s">
        <v>53</v>
      </c>
      <c r="E57" s="1"/>
      <c r="F57" s="99"/>
      <c r="G57" s="370">
        <v>0</v>
      </c>
      <c r="H57" s="22">
        <v>0</v>
      </c>
      <c r="I57" s="144">
        <f>(J57*100)/N$12</f>
        <v>0</v>
      </c>
      <c r="J57" s="165">
        <f>L57/$H$14</f>
        <v>0</v>
      </c>
      <c r="K57" s="165"/>
      <c r="L57" s="146">
        <f>N57/$H$13</f>
        <v>0</v>
      </c>
      <c r="M57" s="146"/>
      <c r="N57" s="146">
        <f>H57*G57</f>
        <v>0</v>
      </c>
      <c r="O57" s="147">
        <f>N57/N$23</f>
        <v>0</v>
      </c>
      <c r="P57" s="148"/>
      <c r="Q57" s="114"/>
    </row>
    <row r="58" spans="1:17" ht="16.5" thickBot="1" thickTop="1">
      <c r="A58" s="1"/>
      <c r="B58" s="1"/>
      <c r="C58" s="1"/>
      <c r="D58" s="94" t="s">
        <v>164</v>
      </c>
      <c r="E58" s="1"/>
      <c r="F58" s="99"/>
      <c r="G58" s="370">
        <v>0</v>
      </c>
      <c r="H58" s="22">
        <v>10</v>
      </c>
      <c r="I58" s="116">
        <f>(J58*100)/N$12</f>
        <v>0</v>
      </c>
      <c r="J58" s="118">
        <f>L58/$H$14</f>
        <v>0</v>
      </c>
      <c r="K58" s="118"/>
      <c r="L58" s="119">
        <f>N58/$H$13</f>
        <v>0</v>
      </c>
      <c r="M58" s="119"/>
      <c r="N58" s="119">
        <f>H58*G58</f>
        <v>0</v>
      </c>
      <c r="O58" s="149">
        <f>N58/N$23</f>
        <v>0</v>
      </c>
      <c r="P58" s="148"/>
      <c r="Q58" s="137"/>
    </row>
    <row r="59" spans="1:17" ht="16.5" thickBot="1" thickTop="1">
      <c r="A59" s="1"/>
      <c r="B59" s="1"/>
      <c r="C59" s="1"/>
      <c r="D59" s="501" t="s">
        <v>105</v>
      </c>
      <c r="E59" s="150"/>
      <c r="F59" s="151"/>
      <c r="G59" s="370">
        <v>0</v>
      </c>
      <c r="H59" s="152">
        <f>$H$15*(1+$G$16)</f>
        <v>15.96</v>
      </c>
      <c r="I59" s="179">
        <f>(J59*100)/N$12</f>
        <v>0</v>
      </c>
      <c r="J59" s="180">
        <f>(G59/60)*H59</f>
        <v>0</v>
      </c>
      <c r="K59" s="180"/>
      <c r="L59" s="181">
        <f>N59/H$13</f>
        <v>0</v>
      </c>
      <c r="M59" s="181"/>
      <c r="N59" s="181">
        <f>(G59/60)*H59*H$12</f>
        <v>0</v>
      </c>
      <c r="O59" s="182">
        <f>N59/N$23</f>
        <v>0</v>
      </c>
      <c r="P59" s="148"/>
      <c r="Q59" s="137"/>
    </row>
    <row r="60" spans="1:17" ht="9" customHeight="1" thickBot="1" thickTop="1">
      <c r="A60" s="1"/>
      <c r="B60" s="1"/>
      <c r="C60" s="1"/>
      <c r="D60" s="1"/>
      <c r="E60" s="1"/>
      <c r="F60" s="1"/>
      <c r="G60" s="183"/>
      <c r="H60" s="11"/>
      <c r="I60" s="5"/>
      <c r="J60" s="5"/>
      <c r="K60" s="5"/>
      <c r="L60" s="5"/>
      <c r="M60" s="5"/>
      <c r="N60" s="5"/>
      <c r="O60" s="5"/>
      <c r="P60" s="1"/>
      <c r="Q60" s="1"/>
    </row>
    <row r="61" spans="1:17" ht="12.75" customHeight="1" thickBot="1" thickTop="1">
      <c r="A61" s="1"/>
      <c r="B61" s="94">
        <v>8</v>
      </c>
      <c r="C61" s="1"/>
      <c r="D61" s="1" t="s">
        <v>160</v>
      </c>
      <c r="E61" s="1"/>
      <c r="F61" s="321"/>
      <c r="G61" s="472" t="s">
        <v>161</v>
      </c>
      <c r="H61" s="379"/>
      <c r="I61" s="474">
        <f>(J61*100)/N$12</f>
        <v>0</v>
      </c>
      <c r="J61" s="190">
        <f>L61/H$12</f>
        <v>0</v>
      </c>
      <c r="K61" s="197"/>
      <c r="L61" s="192">
        <f>N61/H13</f>
        <v>0</v>
      </c>
      <c r="M61" s="207"/>
      <c r="N61" s="63">
        <v>0</v>
      </c>
      <c r="O61" s="194">
        <f>N61/N$23</f>
        <v>0</v>
      </c>
      <c r="P61" s="1"/>
      <c r="Q61" s="1"/>
    </row>
    <row r="62" spans="1:17" ht="3.75" customHeight="1" thickBot="1" thickTop="1">
      <c r="A62" s="1"/>
      <c r="B62" s="94"/>
      <c r="C62" s="1"/>
      <c r="D62" s="1"/>
      <c r="E62" s="1"/>
      <c r="F62" s="321"/>
      <c r="G62" s="472"/>
      <c r="H62" s="379"/>
      <c r="I62" s="517"/>
      <c r="J62" s="518"/>
      <c r="K62" s="519"/>
      <c r="L62" s="520"/>
      <c r="M62" s="521"/>
      <c r="N62" s="522"/>
      <c r="O62" s="523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30" t="s">
        <v>54</v>
      </c>
      <c r="I63" s="513">
        <f>I56+I46+I41+I36+I31+I26</f>
        <v>73.4249713631157</v>
      </c>
      <c r="J63" s="514">
        <f>J56+J46+J41+J36+J31+J26</f>
        <v>3.5896</v>
      </c>
      <c r="K63" s="514"/>
      <c r="L63" s="515">
        <f>L56+L46+L41+L36+L31+L26</f>
        <v>3589.6</v>
      </c>
      <c r="M63" s="515"/>
      <c r="N63" s="515">
        <f>N56+N46+N41+N36+N31+N26</f>
        <v>3589.6</v>
      </c>
      <c r="O63" s="516">
        <f>N63/N$23</f>
        <v>0.36712485681557844</v>
      </c>
      <c r="P63" s="1"/>
      <c r="Q63" s="114"/>
    </row>
    <row r="64" spans="1:17" ht="9" customHeight="1" thickBot="1">
      <c r="A64" s="1"/>
      <c r="B64" s="1"/>
      <c r="C64" s="1"/>
      <c r="D64" s="1"/>
      <c r="E64" s="1"/>
      <c r="F64" s="1"/>
      <c r="G64" s="184"/>
      <c r="H64" s="105"/>
      <c r="I64" s="334"/>
      <c r="J64" s="335"/>
      <c r="K64" s="335"/>
      <c r="L64" s="336"/>
      <c r="M64" s="336"/>
      <c r="N64" s="336"/>
      <c r="O64" s="337"/>
      <c r="P64" s="1"/>
      <c r="Q64" s="114"/>
    </row>
    <row r="65" spans="1:17" ht="15.75" thickBot="1">
      <c r="A65" s="1"/>
      <c r="B65" s="150" t="s">
        <v>155</v>
      </c>
      <c r="C65" s="1" t="s">
        <v>55</v>
      </c>
      <c r="D65" s="185"/>
      <c r="E65" s="138"/>
      <c r="F65" s="139"/>
      <c r="G65" s="186" t="s">
        <v>56</v>
      </c>
      <c r="H65" s="333" t="s">
        <v>57</v>
      </c>
      <c r="I65" s="329" t="s">
        <v>147</v>
      </c>
      <c r="J65" s="330" t="s">
        <v>148</v>
      </c>
      <c r="K65" s="330"/>
      <c r="L65" s="331" t="s">
        <v>149</v>
      </c>
      <c r="M65" s="331"/>
      <c r="N65" s="331" t="s">
        <v>150</v>
      </c>
      <c r="O65" s="332" t="s">
        <v>151</v>
      </c>
      <c r="P65" s="1"/>
      <c r="Q65" s="137"/>
    </row>
    <row r="66" spans="1:17" ht="16.5" thickBot="1" thickTop="1">
      <c r="A66" s="1"/>
      <c r="B66" s="94">
        <v>1</v>
      </c>
      <c r="C66" s="1"/>
      <c r="D66" s="1" t="s">
        <v>51</v>
      </c>
      <c r="E66" s="187"/>
      <c r="F66" s="188"/>
      <c r="G66" s="370">
        <v>12</v>
      </c>
      <c r="H66" s="320" t="s">
        <v>45</v>
      </c>
      <c r="I66" s="338">
        <f>G66/O15</f>
        <v>47.05882352941176</v>
      </c>
      <c r="J66" s="339">
        <f>(G66*O13)/100</f>
        <v>2.7720000000000002</v>
      </c>
      <c r="K66" s="340"/>
      <c r="L66" s="341">
        <f>J66*H14</f>
        <v>2772.0000000000005</v>
      </c>
      <c r="M66" s="342"/>
      <c r="N66" s="341">
        <f>L66*H13</f>
        <v>2772.0000000000005</v>
      </c>
      <c r="O66" s="343">
        <f>N66/N$23</f>
        <v>0.2835051546391753</v>
      </c>
      <c r="P66" s="148"/>
      <c r="Q66" s="114"/>
    </row>
    <row r="67" spans="1:17" ht="4.5" customHeight="1" thickBot="1" thickTop="1">
      <c r="A67" s="1"/>
      <c r="B67" s="94"/>
      <c r="C67" s="1"/>
      <c r="D67" s="150"/>
      <c r="E67" s="150"/>
      <c r="F67" s="150"/>
      <c r="G67" s="368"/>
      <c r="H67" s="195"/>
      <c r="I67" s="196"/>
      <c r="J67" s="197"/>
      <c r="K67" s="197"/>
      <c r="L67" s="192"/>
      <c r="M67" s="192"/>
      <c r="N67" s="192"/>
      <c r="O67" s="198"/>
      <c r="P67" s="1"/>
      <c r="Q67" s="137"/>
    </row>
    <row r="68" spans="1:17" ht="16.5" thickBot="1" thickTop="1">
      <c r="A68" s="1"/>
      <c r="B68" s="94">
        <v>2</v>
      </c>
      <c r="C68" s="1"/>
      <c r="D68" s="1" t="s">
        <v>123</v>
      </c>
      <c r="E68" s="141"/>
      <c r="F68" s="188"/>
      <c r="G68" s="370">
        <v>16</v>
      </c>
      <c r="H68" s="199" t="s">
        <v>117</v>
      </c>
      <c r="I68" s="189">
        <f>G68</f>
        <v>16</v>
      </c>
      <c r="J68" s="190">
        <f>G68*(F19+F21)*(N12/100)</f>
        <v>0.782208</v>
      </c>
      <c r="K68" s="200"/>
      <c r="L68" s="192">
        <f>J68*H14</f>
        <v>782.208</v>
      </c>
      <c r="M68" s="201"/>
      <c r="N68" s="371">
        <f>L68*H13</f>
        <v>782.208</v>
      </c>
      <c r="O68" s="194">
        <f>N68/N$23</f>
        <v>0.07999999999999999</v>
      </c>
      <c r="P68" s="148"/>
      <c r="Q68" s="114"/>
    </row>
    <row r="69" spans="1:17" ht="4.5" customHeight="1" thickBot="1" thickTop="1">
      <c r="A69" s="1"/>
      <c r="B69" s="94"/>
      <c r="C69" s="1"/>
      <c r="D69" s="141"/>
      <c r="E69" s="141"/>
      <c r="F69" s="202"/>
      <c r="G69" s="369"/>
      <c r="H69" s="203"/>
      <c r="I69" s="204"/>
      <c r="J69" s="190"/>
      <c r="K69" s="191"/>
      <c r="L69" s="192"/>
      <c r="M69" s="193"/>
      <c r="N69" s="526"/>
      <c r="O69" s="205"/>
      <c r="P69" s="1"/>
      <c r="Q69" s="114"/>
    </row>
    <row r="70" spans="1:17" ht="16.5" thickBot="1" thickTop="1">
      <c r="A70" s="1"/>
      <c r="B70" s="94">
        <v>3</v>
      </c>
      <c r="C70" s="1"/>
      <c r="D70" s="1" t="s">
        <v>118</v>
      </c>
      <c r="E70" s="1"/>
      <c r="F70" s="465" t="str">
        <f>IF(G21=0,"None","Yes")</f>
        <v>None</v>
      </c>
      <c r="G70" s="370">
        <v>10</v>
      </c>
      <c r="H70" s="473" t="s">
        <v>117</v>
      </c>
      <c r="I70" s="189" t="str">
        <f>IF($F70="yes",((J70*100)/N$12),"n.a.")</f>
        <v>n.a.</v>
      </c>
      <c r="J70" s="190" t="str">
        <f>IF(F70="Yes",(L70/H$12),"n.a.")</f>
        <v>n.a.</v>
      </c>
      <c r="K70" s="206"/>
      <c r="L70" s="192" t="str">
        <f>IF(F70="Yes",(N70/H$13),"n.a.")</f>
        <v>n.a.</v>
      </c>
      <c r="M70" s="524"/>
      <c r="N70" s="527" t="str">
        <f>IF(F70="Yes",((G70*I12*F21)/100),"n.a.")</f>
        <v>n.a.</v>
      </c>
      <c r="O70" s="525">
        <f>IF(F70="Yes",(N70/N$23),0)</f>
        <v>0</v>
      </c>
      <c r="P70" s="148"/>
      <c r="Q70" s="137"/>
    </row>
    <row r="71" spans="1:17" ht="3.75" customHeight="1" thickBot="1" thickTop="1">
      <c r="A71" s="1"/>
      <c r="B71" s="1"/>
      <c r="C71" s="1"/>
      <c r="D71" s="1"/>
      <c r="E71" s="1"/>
      <c r="F71" s="1"/>
      <c r="G71" s="360"/>
      <c r="H71" s="360"/>
      <c r="I71" s="208"/>
      <c r="J71" s="208"/>
      <c r="K71" s="208"/>
      <c r="L71" s="208"/>
      <c r="M71" s="208"/>
      <c r="N71" s="380"/>
      <c r="O71" s="208"/>
      <c r="P71" s="1"/>
      <c r="Q71" s="1"/>
    </row>
    <row r="72" spans="1:17" ht="16.5" customHeight="1">
      <c r="A72" s="1"/>
      <c r="B72" s="1"/>
      <c r="C72" s="1"/>
      <c r="D72" s="1"/>
      <c r="E72" s="1"/>
      <c r="F72" s="1"/>
      <c r="G72" s="1"/>
      <c r="H72" s="130" t="s">
        <v>120</v>
      </c>
      <c r="I72" s="506">
        <f>SUM(I66:I70)</f>
        <v>63.05882352941176</v>
      </c>
      <c r="J72" s="507">
        <f>SUM(J66:J70)</f>
        <v>3.554208</v>
      </c>
      <c r="K72" s="508"/>
      <c r="L72" s="509">
        <f>SUM(L66:L70)</f>
        <v>3554.2080000000005</v>
      </c>
      <c r="M72" s="510"/>
      <c r="N72" s="509">
        <f>SUM(N66:N70)</f>
        <v>3554.2080000000005</v>
      </c>
      <c r="O72" s="210">
        <f>N72/N$23</f>
        <v>0.3635051546391753</v>
      </c>
      <c r="P72" s="1"/>
      <c r="Q72" s="114"/>
    </row>
    <row r="73" spans="1:17" ht="7.5" customHeight="1" thickBot="1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37"/>
    </row>
    <row r="74" spans="1:17" ht="16.5" customHeight="1" thickBot="1">
      <c r="A74" s="1"/>
      <c r="B74" s="1"/>
      <c r="C74" s="1"/>
      <c r="D74" s="1"/>
      <c r="E74" s="3"/>
      <c r="F74" s="211"/>
      <c r="G74" s="44"/>
      <c r="H74" s="212" t="s">
        <v>121</v>
      </c>
      <c r="I74" s="213">
        <f>I72+I63</f>
        <v>136.48379489252747</v>
      </c>
      <c r="J74" s="214">
        <f>J72+J63</f>
        <v>7.143808</v>
      </c>
      <c r="K74" s="214"/>
      <c r="L74" s="215">
        <f>L72+L63</f>
        <v>7143.808000000001</v>
      </c>
      <c r="M74" s="215"/>
      <c r="N74" s="215">
        <f>N72+N63</f>
        <v>7143.808000000001</v>
      </c>
      <c r="O74" s="216">
        <f>N74/N$23</f>
        <v>0.7306300114547538</v>
      </c>
      <c r="P74" s="10"/>
      <c r="Q74" s="114"/>
    </row>
    <row r="75" spans="1:17" ht="9" customHeight="1" thickBot="1">
      <c r="A75" s="1"/>
      <c r="B75" s="1"/>
      <c r="C75" s="1"/>
      <c r="D75" s="1"/>
      <c r="E75" s="1"/>
      <c r="F75" s="44"/>
      <c r="G75" s="44"/>
      <c r="H75" s="44"/>
      <c r="I75" s="44"/>
      <c r="J75" s="44"/>
      <c r="K75" s="44"/>
      <c r="L75" s="217"/>
      <c r="M75" s="217"/>
      <c r="N75" s="218"/>
      <c r="O75" s="219"/>
      <c r="P75" s="1"/>
      <c r="Q75" s="137"/>
    </row>
    <row r="76" spans="1:17" ht="15.75" thickBot="1">
      <c r="A76" s="1"/>
      <c r="B76" s="1"/>
      <c r="C76" s="1"/>
      <c r="D76" s="1"/>
      <c r="E76" s="3"/>
      <c r="F76" s="220"/>
      <c r="G76" s="221"/>
      <c r="H76" s="222" t="s">
        <v>59</v>
      </c>
      <c r="I76" s="223">
        <f>I23-I74</f>
        <v>63.51620510747253</v>
      </c>
      <c r="J76" s="224">
        <f>J23-J74</f>
        <v>2.6337919999999997</v>
      </c>
      <c r="K76" s="224"/>
      <c r="L76" s="225">
        <f>L23-L74</f>
        <v>2633.7919999999995</v>
      </c>
      <c r="M76" s="225"/>
      <c r="N76" s="225">
        <f>N23-N74</f>
        <v>2633.7919999999995</v>
      </c>
      <c r="O76" s="226">
        <f>N76/N$23</f>
        <v>0.2693699885452462</v>
      </c>
      <c r="P76" s="10"/>
      <c r="Q76" s="114"/>
    </row>
    <row r="77" spans="1:17" ht="6.75" customHeight="1" thickBot="1">
      <c r="A77" s="1"/>
      <c r="B77" s="1"/>
      <c r="C77" s="1"/>
      <c r="D77" s="1"/>
      <c r="E77" s="1"/>
      <c r="F77" s="5"/>
      <c r="G77" s="85"/>
      <c r="H77" s="5"/>
      <c r="I77" s="323"/>
      <c r="J77" s="323"/>
      <c r="K77" s="323"/>
      <c r="L77" s="324"/>
      <c r="M77" s="324"/>
      <c r="N77" s="324"/>
      <c r="O77" s="325"/>
      <c r="P77" s="1"/>
      <c r="Q77" s="137"/>
    </row>
    <row r="78" spans="1:17" ht="15" customHeight="1" thickBot="1">
      <c r="A78" s="107" t="s">
        <v>60</v>
      </c>
      <c r="B78" s="1"/>
      <c r="C78" s="1"/>
      <c r="D78" s="1"/>
      <c r="E78" s="1"/>
      <c r="F78" s="1"/>
      <c r="G78" s="1"/>
      <c r="H78" s="321"/>
      <c r="I78" s="329" t="s">
        <v>147</v>
      </c>
      <c r="J78" s="330" t="s">
        <v>148</v>
      </c>
      <c r="K78" s="330"/>
      <c r="L78" s="331" t="s">
        <v>149</v>
      </c>
      <c r="M78" s="331"/>
      <c r="N78" s="331" t="s">
        <v>150</v>
      </c>
      <c r="O78" s="332" t="s">
        <v>151</v>
      </c>
      <c r="P78" s="322"/>
      <c r="Q78" s="137"/>
    </row>
    <row r="79" spans="1:17" ht="15" customHeight="1" thickBot="1">
      <c r="A79" s="1"/>
      <c r="B79" s="150" t="s">
        <v>152</v>
      </c>
      <c r="C79" s="1" t="s">
        <v>39</v>
      </c>
      <c r="D79" s="185"/>
      <c r="E79" s="138"/>
      <c r="F79" s="470"/>
      <c r="G79" s="306"/>
      <c r="H79" s="227" t="s">
        <v>61</v>
      </c>
      <c r="I79" s="492">
        <f>(J79*100)/N$12</f>
        <v>3.784159711994764</v>
      </c>
      <c r="J79" s="493">
        <f>L79/H$14</f>
        <v>0.185</v>
      </c>
      <c r="K79" s="326"/>
      <c r="L79" s="558">
        <v>185</v>
      </c>
      <c r="M79" s="566"/>
      <c r="N79" s="494">
        <f>L79*H13</f>
        <v>185</v>
      </c>
      <c r="O79" s="328">
        <f>N79/N$23</f>
        <v>0.018920798559973816</v>
      </c>
      <c r="P79" s="1"/>
      <c r="Q79" s="137"/>
    </row>
    <row r="80" spans="1:17" ht="15.75" customHeight="1" thickBot="1" thickTop="1">
      <c r="A80" s="1"/>
      <c r="B80" s="94" t="s">
        <v>156</v>
      </c>
      <c r="C80" s="1" t="s">
        <v>119</v>
      </c>
      <c r="E80" s="469"/>
      <c r="F80" s="560">
        <v>0</v>
      </c>
      <c r="G80" s="468" t="s">
        <v>117</v>
      </c>
      <c r="H80" s="467" t="s">
        <v>61</v>
      </c>
      <c r="I80" s="557">
        <f>(J80*100)/N$12</f>
        <v>0</v>
      </c>
      <c r="J80" s="556">
        <f>L80/H$12</f>
        <v>0</v>
      </c>
      <c r="K80" s="565"/>
      <c r="L80" s="559">
        <f>N80/H$13</f>
        <v>0</v>
      </c>
      <c r="M80" s="559"/>
      <c r="N80" s="559">
        <f>(F80*I12)/100</f>
        <v>0</v>
      </c>
      <c r="O80" s="555">
        <f>N80/N$23</f>
        <v>0</v>
      </c>
      <c r="P80" s="1"/>
      <c r="Q80" s="1"/>
    </row>
    <row r="81" spans="1:17" ht="15.75" customHeight="1" thickBot="1" thickTop="1">
      <c r="A81" s="1"/>
      <c r="B81" s="150" t="s">
        <v>157</v>
      </c>
      <c r="C81" s="1" t="s">
        <v>62</v>
      </c>
      <c r="D81" s="185"/>
      <c r="E81" s="138"/>
      <c r="F81" s="569"/>
      <c r="G81" s="360"/>
      <c r="H81" s="227" t="s">
        <v>63</v>
      </c>
      <c r="I81" s="495">
        <f>I82+I83</f>
        <v>4.000000000000001</v>
      </c>
      <c r="J81" s="496">
        <f>J82+J83</f>
        <v>0.19555200000000003</v>
      </c>
      <c r="K81" s="496"/>
      <c r="L81" s="497">
        <f>L82+L83</f>
        <v>195.55200000000002</v>
      </c>
      <c r="M81" s="498"/>
      <c r="N81" s="497">
        <f>N82+N83</f>
        <v>195.55200000000002</v>
      </c>
      <c r="O81" s="164">
        <f>N81/N$23</f>
        <v>0.02</v>
      </c>
      <c r="P81" s="1"/>
      <c r="Q81" s="137"/>
    </row>
    <row r="82" spans="1:17" ht="15" customHeight="1" thickBot="1" thickTop="1">
      <c r="A82" s="1"/>
      <c r="B82" s="228">
        <v>1</v>
      </c>
      <c r="C82" s="1"/>
      <c r="D82" s="94" t="s">
        <v>64</v>
      </c>
      <c r="E82" s="111" t="s">
        <v>154</v>
      </c>
      <c r="F82" s="561">
        <v>0.02</v>
      </c>
      <c r="G82" s="466" t="s">
        <v>65</v>
      </c>
      <c r="H82" s="96"/>
      <c r="I82" s="483">
        <f>(J82*100)/N$12</f>
        <v>4.000000000000001</v>
      </c>
      <c r="J82" s="165">
        <f>L82/H$14</f>
        <v>0.19555200000000003</v>
      </c>
      <c r="K82" s="165"/>
      <c r="L82" s="479">
        <f>N82/H$13</f>
        <v>195.55200000000002</v>
      </c>
      <c r="M82" s="479"/>
      <c r="N82" s="479">
        <f>F82*N$23</f>
        <v>195.55200000000002</v>
      </c>
      <c r="O82" s="147">
        <f aca="true" t="shared" si="0" ref="O82:O87">N82/N$23</f>
        <v>0.02</v>
      </c>
      <c r="P82" s="148"/>
      <c r="Q82" s="137"/>
    </row>
    <row r="83" spans="1:17" ht="15" customHeight="1" thickBot="1" thickTop="1">
      <c r="A83" s="1"/>
      <c r="B83" s="228">
        <v>2</v>
      </c>
      <c r="C83" s="1"/>
      <c r="D83" s="94" t="s">
        <v>66</v>
      </c>
      <c r="E83" s="111" t="s">
        <v>154</v>
      </c>
      <c r="F83" s="561">
        <v>0</v>
      </c>
      <c r="G83" s="466" t="s">
        <v>65</v>
      </c>
      <c r="H83" s="96"/>
      <c r="I83" s="487">
        <f>(J83*100)/N$12</f>
        <v>0</v>
      </c>
      <c r="J83" s="166">
        <f>L83/H$14</f>
        <v>0</v>
      </c>
      <c r="K83" s="166"/>
      <c r="L83" s="480">
        <f>N83/H$13</f>
        <v>0</v>
      </c>
      <c r="M83" s="480"/>
      <c r="N83" s="480">
        <f>F83*N$23</f>
        <v>0</v>
      </c>
      <c r="O83" s="156">
        <f t="shared" si="0"/>
        <v>0</v>
      </c>
      <c r="P83" s="148"/>
      <c r="Q83" s="137"/>
    </row>
    <row r="84" spans="1:17" ht="3" customHeight="1" thickTop="1">
      <c r="A84" s="1"/>
      <c r="B84" s="1"/>
      <c r="C84" s="1"/>
      <c r="D84" s="1"/>
      <c r="E84" s="1"/>
      <c r="F84" s="229"/>
      <c r="G84" s="1"/>
      <c r="H84" s="1"/>
      <c r="I84" s="11"/>
      <c r="J84" s="11"/>
      <c r="K84" s="11"/>
      <c r="L84" s="11"/>
      <c r="M84" s="11"/>
      <c r="N84" s="11"/>
      <c r="O84" s="11"/>
      <c r="P84" s="1"/>
      <c r="Q84" s="1"/>
    </row>
    <row r="85" spans="1:17" ht="15" customHeight="1" thickBot="1">
      <c r="A85" s="1"/>
      <c r="B85" s="150" t="s">
        <v>158</v>
      </c>
      <c r="C85" s="1" t="s">
        <v>6</v>
      </c>
      <c r="D85" s="185"/>
      <c r="E85" s="138"/>
      <c r="F85" s="230"/>
      <c r="G85" s="1"/>
      <c r="H85" s="227" t="s">
        <v>7</v>
      </c>
      <c r="I85" s="495">
        <f aca="true" t="shared" si="1" ref="I85:N85">I86+I87</f>
        <v>6.136475208640158</v>
      </c>
      <c r="J85" s="496">
        <f t="shared" si="1"/>
        <v>0.30000000000000004</v>
      </c>
      <c r="K85" s="495"/>
      <c r="L85" s="497">
        <f t="shared" si="1"/>
        <v>300</v>
      </c>
      <c r="M85" s="495"/>
      <c r="N85" s="499">
        <f t="shared" si="1"/>
        <v>300</v>
      </c>
      <c r="O85" s="164">
        <f>N85/N$23</f>
        <v>0.030682376043200784</v>
      </c>
      <c r="P85" s="1"/>
      <c r="Q85" s="137"/>
    </row>
    <row r="86" spans="1:17" ht="15" customHeight="1" thickBot="1" thickTop="1">
      <c r="A86" s="1"/>
      <c r="B86" s="228">
        <v>1</v>
      </c>
      <c r="C86" s="1"/>
      <c r="D86" s="94" t="s">
        <v>8</v>
      </c>
      <c r="G86" s="232"/>
      <c r="H86" s="475" t="s">
        <v>9</v>
      </c>
      <c r="I86" s="483">
        <f>(J86*100)/N$12</f>
        <v>2.045491736213386</v>
      </c>
      <c r="J86" s="165">
        <f>L86/H$14</f>
        <v>0.1</v>
      </c>
      <c r="K86" s="165"/>
      <c r="L86" s="479">
        <f>N86/H13</f>
        <v>100</v>
      </c>
      <c r="M86" s="481"/>
      <c r="N86" s="491">
        <v>100</v>
      </c>
      <c r="O86" s="233">
        <f t="shared" si="0"/>
        <v>0.010227458681066929</v>
      </c>
      <c r="P86" s="148"/>
      <c r="Q86" s="137"/>
    </row>
    <row r="87" spans="1:17" ht="15" customHeight="1" thickBot="1" thickTop="1">
      <c r="A87" s="1"/>
      <c r="B87" s="228">
        <v>2</v>
      </c>
      <c r="C87" s="1"/>
      <c r="D87" s="94" t="s">
        <v>10</v>
      </c>
      <c r="G87" s="232"/>
      <c r="H87" s="475" t="s">
        <v>9</v>
      </c>
      <c r="I87" s="487">
        <f>(J87*100)/N$12</f>
        <v>4.090983472426772</v>
      </c>
      <c r="J87" s="166">
        <f>L87/H$14</f>
        <v>0.2</v>
      </c>
      <c r="K87" s="166"/>
      <c r="L87" s="480">
        <f>N87/H$13</f>
        <v>200</v>
      </c>
      <c r="M87" s="482"/>
      <c r="N87" s="491">
        <v>200</v>
      </c>
      <c r="O87" s="234">
        <f t="shared" si="0"/>
        <v>0.020454917362133857</v>
      </c>
      <c r="P87" s="148"/>
      <c r="Q87" s="137"/>
    </row>
    <row r="88" spans="1:17" ht="3.75" customHeight="1" thickTop="1">
      <c r="A88" s="1"/>
      <c r="B88" s="235"/>
      <c r="C88" s="1"/>
      <c r="D88" s="1"/>
      <c r="E88" s="1"/>
      <c r="F88" s="1"/>
      <c r="G88" s="1"/>
      <c r="H88" s="1"/>
      <c r="I88" s="11"/>
      <c r="J88" s="11"/>
      <c r="K88" s="11"/>
      <c r="L88" s="169"/>
      <c r="M88" s="169"/>
      <c r="N88" s="236"/>
      <c r="O88" s="170"/>
      <c r="P88" s="1"/>
      <c r="Q88" s="137"/>
    </row>
    <row r="89" spans="1:17" ht="15" customHeight="1" thickBot="1">
      <c r="A89" s="1"/>
      <c r="B89" s="150" t="s">
        <v>159</v>
      </c>
      <c r="C89" s="1" t="s">
        <v>88</v>
      </c>
      <c r="D89" s="1"/>
      <c r="E89" s="1"/>
      <c r="F89" s="237"/>
      <c r="G89" s="1"/>
      <c r="H89" s="172" t="s">
        <v>89</v>
      </c>
      <c r="I89" s="495">
        <f>I90+I91</f>
        <v>0.31500572737686144</v>
      </c>
      <c r="J89" s="496">
        <f>J90+J91</f>
        <v>0.0154</v>
      </c>
      <c r="K89" s="495"/>
      <c r="L89" s="500">
        <f>L90+L91</f>
        <v>15.4</v>
      </c>
      <c r="M89" s="500"/>
      <c r="N89" s="500">
        <f>N90+N91</f>
        <v>15.4</v>
      </c>
      <c r="O89" s="164">
        <f>N89/N$23</f>
        <v>0.001575028636884307</v>
      </c>
      <c r="P89" s="1"/>
      <c r="Q89" s="137"/>
    </row>
    <row r="90" spans="1:17" ht="15" customHeight="1" thickBot="1" thickTop="1">
      <c r="A90" s="1"/>
      <c r="B90" s="228">
        <v>1</v>
      </c>
      <c r="C90" s="1"/>
      <c r="D90" s="94" t="s">
        <v>163</v>
      </c>
      <c r="E90" s="111" t="s">
        <v>154</v>
      </c>
      <c r="F90" s="564">
        <v>35</v>
      </c>
      <c r="G90" s="238" t="s">
        <v>90</v>
      </c>
      <c r="H90" s="562">
        <v>25</v>
      </c>
      <c r="I90" s="483">
        <f>(J90*100)/N$12</f>
        <v>0.0286368843069874</v>
      </c>
      <c r="J90" s="484">
        <f>N90/H$12</f>
        <v>0.0014</v>
      </c>
      <c r="K90" s="485"/>
      <c r="L90" s="486">
        <f>N90/H$13</f>
        <v>1.4</v>
      </c>
      <c r="M90" s="486"/>
      <c r="N90" s="486">
        <f>F90/H90</f>
        <v>1.4</v>
      </c>
      <c r="O90" s="147">
        <f>N90/N$23</f>
        <v>0.00014318442153493698</v>
      </c>
      <c r="P90" s="148"/>
      <c r="Q90" s="137"/>
    </row>
    <row r="91" spans="1:17" ht="15" customHeight="1" thickBot="1" thickTop="1">
      <c r="A91" s="1"/>
      <c r="B91" s="228">
        <v>2</v>
      </c>
      <c r="C91" s="1"/>
      <c r="D91" s="94" t="s">
        <v>162</v>
      </c>
      <c r="E91" s="232"/>
      <c r="F91" s="239"/>
      <c r="G91" s="561">
        <v>0.01</v>
      </c>
      <c r="H91" s="240" t="s">
        <v>91</v>
      </c>
      <c r="I91" s="487">
        <f>(J91*100)/N$12</f>
        <v>0.28636884306987404</v>
      </c>
      <c r="J91" s="488">
        <f>N91/H$12</f>
        <v>0.014</v>
      </c>
      <c r="K91" s="489"/>
      <c r="L91" s="490">
        <f>N91/H$13</f>
        <v>14</v>
      </c>
      <c r="M91" s="490"/>
      <c r="N91" s="490">
        <f>G91*H12*N90</f>
        <v>14</v>
      </c>
      <c r="O91" s="156">
        <f>N91/N$23</f>
        <v>0.0014318442153493699</v>
      </c>
      <c r="P91" s="148"/>
      <c r="Q91" s="137"/>
    </row>
    <row r="92" spans="1:17" ht="3.75" customHeight="1" thickBot="1" thickTop="1">
      <c r="A92" s="1"/>
      <c r="B92" s="241"/>
      <c r="C92" s="1"/>
      <c r="D92" s="1"/>
      <c r="E92" s="1"/>
      <c r="F92" s="2"/>
      <c r="G92" s="209"/>
      <c r="H92" s="2"/>
      <c r="I92" s="208"/>
      <c r="J92" s="208"/>
      <c r="K92" s="208"/>
      <c r="L92" s="208"/>
      <c r="M92" s="208"/>
      <c r="N92" s="208"/>
      <c r="O92" s="208"/>
      <c r="P92" s="1"/>
      <c r="Q92" s="1"/>
    </row>
    <row r="93" spans="1:17" ht="15.75" customHeight="1" thickBot="1">
      <c r="A93" s="1"/>
      <c r="B93" s="241"/>
      <c r="C93" s="1"/>
      <c r="D93" s="1"/>
      <c r="E93" s="3"/>
      <c r="F93" s="211"/>
      <c r="G93" s="44"/>
      <c r="H93" s="212" t="s">
        <v>92</v>
      </c>
      <c r="I93" s="242">
        <f>I89+I85+I81+I79</f>
        <v>14.235640648011785</v>
      </c>
      <c r="J93" s="243">
        <f>J89+J85+J81+J79</f>
        <v>0.6959520000000001</v>
      </c>
      <c r="K93" s="243"/>
      <c r="L93" s="217">
        <f>L89+L85+L81+L79</f>
        <v>695.952</v>
      </c>
      <c r="M93" s="217"/>
      <c r="N93" s="217">
        <f>N89+N85+N81+N79+N80</f>
        <v>695.952</v>
      </c>
      <c r="O93" s="216">
        <f>N93/N$23</f>
        <v>0.07117820324005891</v>
      </c>
      <c r="P93" s="10"/>
      <c r="Q93" s="137"/>
    </row>
    <row r="94" spans="1:17" ht="6" customHeight="1" thickBot="1">
      <c r="A94" s="1"/>
      <c r="B94" s="241"/>
      <c r="C94" s="1"/>
      <c r="D94" s="2"/>
      <c r="E94" s="2"/>
      <c r="F94" s="44"/>
      <c r="G94" s="212"/>
      <c r="H94" s="44"/>
      <c r="I94" s="242"/>
      <c r="J94" s="244"/>
      <c r="K94" s="244"/>
      <c r="L94" s="245"/>
      <c r="M94" s="245"/>
      <c r="N94" s="217"/>
      <c r="O94" s="246"/>
      <c r="P94" s="1"/>
      <c r="Q94" s="137"/>
    </row>
    <row r="95" spans="1:17" ht="15.75" customHeight="1" thickBot="1">
      <c r="A95" s="1"/>
      <c r="B95" s="241"/>
      <c r="C95" s="3"/>
      <c r="D95" s="220"/>
      <c r="E95" s="221"/>
      <c r="F95" s="221"/>
      <c r="G95" s="221"/>
      <c r="H95" s="222" t="s">
        <v>93</v>
      </c>
      <c r="I95" s="247">
        <f>I93+I74</f>
        <v>150.71943554053925</v>
      </c>
      <c r="J95" s="248">
        <f>J93+J74</f>
        <v>7.83976</v>
      </c>
      <c r="K95" s="248"/>
      <c r="L95" s="249">
        <f>L93+L74</f>
        <v>7839.760000000001</v>
      </c>
      <c r="M95" s="249"/>
      <c r="N95" s="250">
        <f>N93+N74</f>
        <v>7839.760000000001</v>
      </c>
      <c r="O95" s="226">
        <f>N95/N$23</f>
        <v>0.8018082146948127</v>
      </c>
      <c r="P95" s="10"/>
      <c r="Q95" s="137"/>
    </row>
    <row r="96" spans="1:17" ht="6" customHeight="1" thickBot="1">
      <c r="A96" s="1"/>
      <c r="B96" s="241"/>
      <c r="C96" s="1"/>
      <c r="D96" s="44"/>
      <c r="E96" s="44"/>
      <c r="F96" s="44"/>
      <c r="G96" s="212"/>
      <c r="H96" s="44"/>
      <c r="I96" s="242"/>
      <c r="J96" s="244"/>
      <c r="K96" s="244"/>
      <c r="L96" s="245"/>
      <c r="M96" s="245"/>
      <c r="N96" s="217"/>
      <c r="O96" s="246"/>
      <c r="P96" s="1"/>
      <c r="Q96" s="137"/>
    </row>
    <row r="97" spans="1:17" ht="16.5" customHeight="1" thickBot="1">
      <c r="A97" s="1"/>
      <c r="B97" s="241"/>
      <c r="C97" s="3"/>
      <c r="D97" s="220"/>
      <c r="E97" s="221"/>
      <c r="F97" s="221"/>
      <c r="G97" s="221"/>
      <c r="H97" s="252" t="s">
        <v>133</v>
      </c>
      <c r="I97" s="253">
        <f>I23-I95</f>
        <v>49.28056445946075</v>
      </c>
      <c r="J97" s="254">
        <f>J23-J95</f>
        <v>1.9378399999999996</v>
      </c>
      <c r="K97" s="254"/>
      <c r="L97" s="255">
        <f>L23-L95</f>
        <v>1937.8399999999992</v>
      </c>
      <c r="M97" s="256"/>
      <c r="N97" s="255">
        <f>N23-N95</f>
        <v>1937.8399999999992</v>
      </c>
      <c r="O97" s="251">
        <f>N97/N$23</f>
        <v>0.19819178530518727</v>
      </c>
      <c r="P97" s="10"/>
      <c r="Q97" s="137"/>
    </row>
    <row r="98" spans="1:17" ht="6" customHeight="1" thickBot="1">
      <c r="A98" s="1"/>
      <c r="B98" s="2"/>
      <c r="C98" s="2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57"/>
      <c r="P98" s="1"/>
      <c r="Q98" s="1"/>
    </row>
    <row r="99" spans="1:17" ht="16.5" thickBot="1" thickTop="1">
      <c r="A99" s="3"/>
      <c r="B99" s="258" t="s">
        <v>134</v>
      </c>
      <c r="C99" s="259"/>
      <c r="D99" s="259"/>
      <c r="E99" s="259"/>
      <c r="F99" s="259"/>
      <c r="G99" s="260"/>
      <c r="H99" s="260"/>
      <c r="I99" s="260"/>
      <c r="J99" s="260"/>
      <c r="K99" s="260"/>
      <c r="L99" s="260"/>
      <c r="M99" s="260"/>
      <c r="N99" s="278" t="s">
        <v>0</v>
      </c>
      <c r="O99" s="261" t="s">
        <v>122</v>
      </c>
      <c r="P99" s="262"/>
      <c r="Q99" s="1"/>
    </row>
    <row r="100" spans="1:17" ht="15.75" thickTop="1">
      <c r="A100" s="3"/>
      <c r="B100" s="263"/>
      <c r="C100" s="264"/>
      <c r="D100" s="264"/>
      <c r="E100" s="264"/>
      <c r="F100" s="265" t="s">
        <v>135</v>
      </c>
      <c r="G100" s="266">
        <f>F23</f>
        <v>2</v>
      </c>
      <c r="H100" s="308" t="str">
        <f>IF(O99="T","$/lb. of wet beans, the yield req'd. to cover TOTAL production costs =","$/lb. of wet beans, the yield req'd. to cover all OPERATING costs =")</f>
        <v>$/lb. of wet beans, the yield req'd. to cover TOTAL production costs =</v>
      </c>
      <c r="I100" s="264"/>
      <c r="J100" s="264"/>
      <c r="K100" s="264"/>
      <c r="L100" s="264"/>
      <c r="M100" s="264"/>
      <c r="N100" s="264"/>
      <c r="O100" s="267">
        <f>IF(O99="T",J95/G100,J74/G100)</f>
        <v>3.91988</v>
      </c>
      <c r="P100" s="10"/>
      <c r="Q100" s="1"/>
    </row>
    <row r="101" spans="1:17" ht="15.75" thickBot="1">
      <c r="A101" s="3"/>
      <c r="B101" s="268"/>
      <c r="C101" s="269"/>
      <c r="D101" s="269"/>
      <c r="E101" s="269"/>
      <c r="F101" s="270" t="s">
        <v>136</v>
      </c>
      <c r="G101" s="271">
        <f>N12</f>
        <v>4.8888</v>
      </c>
      <c r="H101" s="307" t="str">
        <f>IF(O99="T","lbs. of wet beans/tree, wt'd. ave. price req. to cover TOTAL costs =","lbs. wet beans/tr., wt'd. ave. price req. to cover OPERATING costs =")</f>
        <v>lbs. of wet beans/tree, wt'd. ave. price req. to cover TOTAL costs =</v>
      </c>
      <c r="I101" s="269"/>
      <c r="J101" s="269"/>
      <c r="K101" s="269"/>
      <c r="L101" s="269"/>
      <c r="M101" s="269"/>
      <c r="N101" s="269"/>
      <c r="O101" s="272">
        <f>IF(O99="T",J95/G101,J74/G101)</f>
        <v>1.6036164293896253</v>
      </c>
      <c r="P101" s="10"/>
      <c r="Q101" s="1"/>
    </row>
  </sheetData>
  <printOptions/>
  <pageMargins left="0.3500000238418579" right="0.3500000238418579" top="0.5799999833106995" bottom="0.38999998569488525" header="0.3100000023841858" footer="0"/>
  <pageSetup firstPageNumber="1" useFirstPageNumber="1" orientation="portrait" paperSize="9"/>
  <headerFooter alignWithMargins="0">
    <oddHeader>&amp;L
&amp;"Arial,Bold"&amp;14Enterprise Budget for Cacao Production
</oddHeader>
  </headerFooter>
  <ignoredErrors>
    <ignoredError sqref="I72:J72 N7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0"/>
  <sheetViews>
    <sheetView showGridLines="0" zoomScale="150" zoomScaleNormal="150" workbookViewId="0" topLeftCell="A6">
      <selection activeCell="G29" sqref="G29"/>
    </sheetView>
  </sheetViews>
  <sheetFormatPr defaultColWidth="10.296875" defaultRowHeight="19.5" customHeight="1"/>
  <cols>
    <col min="1" max="1" width="1.2890625" style="273" customWidth="1"/>
    <col min="2" max="2" width="3.09765625" style="273" customWidth="1"/>
    <col min="3" max="3" width="5.59765625" style="273" customWidth="1"/>
    <col min="4" max="4" width="4.69921875" style="273" customWidth="1"/>
    <col min="5" max="5" width="5.296875" style="273" customWidth="1"/>
    <col min="6" max="7" width="9" style="273" customWidth="1"/>
    <col min="8" max="8" width="9.09765625" style="273" customWidth="1"/>
    <col min="9" max="9" width="9" style="273" customWidth="1"/>
    <col min="10" max="10" width="9.09765625" style="273" customWidth="1"/>
    <col min="11" max="11" width="1.69921875" style="273" customWidth="1"/>
    <col min="12" max="16384" width="10.296875" style="273" customWidth="1"/>
  </cols>
  <sheetData>
    <row r="1" spans="1:10" ht="3.75" customHeight="1">
      <c r="A1" s="1"/>
      <c r="B1" s="1"/>
      <c r="C1" s="1"/>
      <c r="D1" s="1"/>
      <c r="E1" s="1"/>
      <c r="F1" s="1"/>
      <c r="G1" s="11"/>
      <c r="H1" s="11"/>
      <c r="I1" s="11"/>
      <c r="J1" s="11"/>
    </row>
    <row r="2" spans="3:10" ht="15">
      <c r="C2" s="1"/>
      <c r="D2" s="1"/>
      <c r="E2" s="95" t="s">
        <v>5</v>
      </c>
      <c r="F2" s="1"/>
      <c r="G2" s="1"/>
      <c r="H2" s="1"/>
      <c r="I2" s="1"/>
      <c r="J2" s="1"/>
    </row>
    <row r="3" spans="1:10" ht="15">
      <c r="A3" s="1"/>
      <c r="B3" s="1"/>
      <c r="C3" s="95" t="s">
        <v>124</v>
      </c>
      <c r="G3" s="1"/>
      <c r="H3" s="1"/>
      <c r="I3" s="1"/>
      <c r="J3" s="1"/>
    </row>
    <row r="4" spans="1:10" s="277" customFormat="1" ht="3.75" customHeight="1">
      <c r="A4" s="1"/>
      <c r="B4" s="306"/>
      <c r="C4" s="306"/>
      <c r="D4" s="306"/>
      <c r="F4" s="385"/>
      <c r="G4" s="306"/>
      <c r="H4" s="306"/>
      <c r="I4" s="306"/>
      <c r="J4" s="306"/>
    </row>
    <row r="5" spans="1:10" ht="15">
      <c r="A5" s="321"/>
      <c r="B5" s="391">
        <v>1</v>
      </c>
      <c r="C5" s="401" t="s">
        <v>125</v>
      </c>
      <c r="D5" s="392"/>
      <c r="E5" s="392"/>
      <c r="F5" s="392"/>
      <c r="G5" s="392"/>
      <c r="H5" s="392"/>
      <c r="I5" s="392"/>
      <c r="J5" s="393"/>
    </row>
    <row r="6" spans="1:10" ht="15">
      <c r="A6" s="321"/>
      <c r="B6" s="394"/>
      <c r="C6" s="232"/>
      <c r="D6" s="232" t="s">
        <v>58</v>
      </c>
      <c r="E6" s="232"/>
      <c r="F6" s="232"/>
      <c r="G6" s="232"/>
      <c r="H6" s="232"/>
      <c r="I6" s="378"/>
      <c r="J6" s="395"/>
    </row>
    <row r="7" spans="1:10" ht="15">
      <c r="A7" s="321"/>
      <c r="B7" s="394">
        <v>2</v>
      </c>
      <c r="C7" s="231" t="s">
        <v>3</v>
      </c>
      <c r="D7" s="232" t="s">
        <v>126</v>
      </c>
      <c r="E7" s="232"/>
      <c r="F7" s="232"/>
      <c r="G7" s="232"/>
      <c r="H7" s="232"/>
      <c r="I7" s="396"/>
      <c r="J7" s="397"/>
    </row>
    <row r="8" spans="1:10" ht="15">
      <c r="A8" s="321"/>
      <c r="B8" s="398">
        <v>3</v>
      </c>
      <c r="C8" s="402" t="s">
        <v>13</v>
      </c>
      <c r="D8" s="399" t="s">
        <v>2</v>
      </c>
      <c r="E8" s="399"/>
      <c r="F8" s="399"/>
      <c r="G8" s="399"/>
      <c r="H8" s="399"/>
      <c r="I8" s="399"/>
      <c r="J8" s="400"/>
    </row>
    <row r="9" spans="1:256" ht="4.5" customHeight="1">
      <c r="A9" s="1"/>
      <c r="B9" s="386"/>
      <c r="C9" s="387"/>
      <c r="D9" s="388"/>
      <c r="E9" s="388"/>
      <c r="F9" s="388"/>
      <c r="G9" s="388"/>
      <c r="H9" s="389"/>
      <c r="I9" s="389"/>
      <c r="J9" s="390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  <c r="IF9" s="277"/>
      <c r="IG9" s="277"/>
      <c r="IH9" s="277"/>
      <c r="II9" s="277"/>
      <c r="IJ9" s="277"/>
      <c r="IK9" s="277"/>
      <c r="IL9" s="277"/>
      <c r="IM9" s="277"/>
      <c r="IN9" s="277"/>
      <c r="IO9" s="277"/>
      <c r="IP9" s="277"/>
      <c r="IQ9" s="277"/>
      <c r="IR9" s="277"/>
      <c r="IS9" s="277"/>
      <c r="IT9" s="277"/>
      <c r="IU9" s="277"/>
      <c r="IV9" s="277"/>
    </row>
    <row r="10" spans="1:256" ht="15">
      <c r="A10" s="95" t="s">
        <v>1</v>
      </c>
      <c r="B10" s="359"/>
      <c r="C10" s="372"/>
      <c r="D10" s="306"/>
      <c r="E10" s="306"/>
      <c r="F10" s="306"/>
      <c r="G10" s="306"/>
      <c r="H10" s="1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  <c r="IF10" s="277"/>
      <c r="IG10" s="277"/>
      <c r="IH10" s="277"/>
      <c r="II10" s="277"/>
      <c r="IJ10" s="277"/>
      <c r="IK10" s="277"/>
      <c r="IL10" s="277"/>
      <c r="IM10" s="277"/>
      <c r="IN10" s="277"/>
      <c r="IO10" s="277"/>
      <c r="IP10" s="277"/>
      <c r="IQ10" s="277"/>
      <c r="IR10" s="277"/>
      <c r="IS10" s="277"/>
      <c r="IT10" s="277"/>
      <c r="IU10" s="277"/>
      <c r="IV10" s="277"/>
    </row>
    <row r="11" spans="1:10" s="277" customFormat="1" ht="18" customHeight="1" thickBot="1">
      <c r="A11" s="321"/>
      <c r="B11" s="404" t="s">
        <v>14</v>
      </c>
      <c r="C11" s="381"/>
      <c r="D11" s="381"/>
      <c r="E11" s="381"/>
      <c r="F11" s="381"/>
      <c r="G11" s="382"/>
      <c r="H11" s="322"/>
      <c r="I11" s="306"/>
      <c r="J11" s="306"/>
    </row>
    <row r="12" spans="1:10" s="403" customFormat="1" ht="15.75" thickBot="1">
      <c r="A12" s="408"/>
      <c r="B12" s="410" t="s">
        <v>102</v>
      </c>
      <c r="C12" s="411"/>
      <c r="D12" s="411"/>
      <c r="E12" s="412"/>
      <c r="F12" s="412"/>
      <c r="G12" s="413"/>
      <c r="H12" s="424"/>
      <c r="I12" s="430" t="s">
        <v>18</v>
      </c>
      <c r="J12" s="431">
        <f>'100% Forastero wet bean'!N12</f>
        <v>5.432</v>
      </c>
    </row>
    <row r="13" spans="1:11" ht="16.5" thickBot="1" thickTop="1">
      <c r="A13" s="321"/>
      <c r="B13" s="414" t="s">
        <v>38</v>
      </c>
      <c r="C13" s="274">
        <v>2</v>
      </c>
      <c r="D13" s="275" t="s">
        <v>101</v>
      </c>
      <c r="E13" s="428" t="s">
        <v>11</v>
      </c>
      <c r="F13" s="232"/>
      <c r="G13" s="568">
        <f>IF(D13="%",(C13/100)*E23,C13)</f>
        <v>0.10864000000000001</v>
      </c>
      <c r="H13" s="425"/>
      <c r="I13" s="432" t="s">
        <v>17</v>
      </c>
      <c r="J13" s="433">
        <f>'100% Forastero wet bean'!H14</f>
        <v>1000</v>
      </c>
      <c r="K13" s="426"/>
    </row>
    <row r="14" spans="1:10" ht="16.5" thickBot="1" thickTop="1">
      <c r="A14" s="321"/>
      <c r="B14" s="414" t="s">
        <v>38</v>
      </c>
      <c r="C14" s="274">
        <v>0.1</v>
      </c>
      <c r="D14" s="275" t="s">
        <v>99</v>
      </c>
      <c r="E14" s="428" t="s">
        <v>12</v>
      </c>
      <c r="F14" s="93"/>
      <c r="G14" s="567">
        <f>IF(D14="%",(C14/100)*I18,C14)</f>
        <v>0.1</v>
      </c>
      <c r="H14" s="427"/>
      <c r="I14" s="434" t="s">
        <v>21</v>
      </c>
      <c r="J14" s="435">
        <f>'100% Forastero wet bean'!L95</f>
        <v>7926.672000000001</v>
      </c>
    </row>
    <row r="15" spans="1:10" ht="9" customHeight="1" thickBot="1" thickTop="1">
      <c r="A15" s="321"/>
      <c r="B15" s="416"/>
      <c r="C15" s="417"/>
      <c r="D15" s="418"/>
      <c r="E15" s="419"/>
      <c r="F15" s="420"/>
      <c r="G15" s="421"/>
      <c r="H15" s="409"/>
      <c r="I15" s="429"/>
      <c r="J15" s="429"/>
    </row>
    <row r="16" spans="1:10" ht="3" customHeight="1">
      <c r="A16" s="1"/>
      <c r="B16" s="360"/>
      <c r="C16" s="360"/>
      <c r="D16" s="405"/>
      <c r="E16" s="406"/>
      <c r="F16" s="407"/>
      <c r="G16" s="407"/>
      <c r="H16" s="407"/>
      <c r="I16" s="407"/>
      <c r="J16" s="407"/>
    </row>
    <row r="17" spans="1:10" s="277" customFormat="1" ht="18" customHeight="1" thickBot="1">
      <c r="A17" s="1"/>
      <c r="B17" s="360" t="s">
        <v>15</v>
      </c>
      <c r="C17" s="360"/>
      <c r="D17" s="405"/>
      <c r="E17" s="406"/>
      <c r="F17" s="407"/>
      <c r="G17" s="407"/>
      <c r="H17" s="407"/>
      <c r="I17" s="407"/>
      <c r="J17" s="407"/>
    </row>
    <row r="18" spans="1:10" ht="15.75" thickBot="1">
      <c r="A18" s="1"/>
      <c r="B18" s="1"/>
      <c r="C18" s="1"/>
      <c r="D18" s="1"/>
      <c r="E18" s="276" t="s">
        <v>19</v>
      </c>
      <c r="F18" s="437">
        <f>G18-G14</f>
        <v>1.4999999999999996</v>
      </c>
      <c r="G18" s="437">
        <f>H18-G14</f>
        <v>1.5999999999999996</v>
      </c>
      <c r="H18" s="438">
        <f>I18-G14</f>
        <v>1.6999999999999997</v>
      </c>
      <c r="I18" s="440">
        <f>'100% Forastero wet bean'!F23</f>
        <v>1.7999999999999998</v>
      </c>
      <c r="J18" s="439">
        <f>I18+G14</f>
        <v>1.9</v>
      </c>
    </row>
    <row r="19" spans="1:10" ht="21" customHeight="1">
      <c r="A19" s="1"/>
      <c r="B19" s="1"/>
      <c r="C19" s="1"/>
      <c r="E19" s="436">
        <f>E20-G13</f>
        <v>4.997439999999999</v>
      </c>
      <c r="F19" s="540">
        <f aca="true" t="shared" si="0" ref="F19:J24">(F$18*$E19*$J$13)-$J$14</f>
        <v>-430.51200000000426</v>
      </c>
      <c r="G19" s="541">
        <f t="shared" si="0"/>
        <v>69.23199999999542</v>
      </c>
      <c r="H19" s="542">
        <f t="shared" si="0"/>
        <v>568.975999999996</v>
      </c>
      <c r="I19" s="543">
        <f t="shared" si="0"/>
        <v>1068.7199999999966</v>
      </c>
      <c r="J19" s="544">
        <f t="shared" si="0"/>
        <v>1568.4639999999972</v>
      </c>
    </row>
    <row r="20" spans="1:10" ht="21" customHeight="1">
      <c r="A20" s="1"/>
      <c r="B20" s="1"/>
      <c r="C20" s="1"/>
      <c r="D20" s="1"/>
      <c r="E20" s="436">
        <f>E21-G13</f>
        <v>5.1060799999999995</v>
      </c>
      <c r="F20" s="545">
        <f t="shared" si="0"/>
        <v>-267.5520000000042</v>
      </c>
      <c r="G20" s="445">
        <f t="shared" si="0"/>
        <v>243.05599999999595</v>
      </c>
      <c r="H20" s="446">
        <f t="shared" si="0"/>
        <v>753.6639999999961</v>
      </c>
      <c r="I20" s="447">
        <f t="shared" si="0"/>
        <v>1264.2719999999963</v>
      </c>
      <c r="J20" s="546">
        <f t="shared" si="0"/>
        <v>1774.8799999999965</v>
      </c>
    </row>
    <row r="21" spans="1:10" ht="21" customHeight="1">
      <c r="A21" s="1"/>
      <c r="B21" s="1"/>
      <c r="C21" s="1"/>
      <c r="D21" s="1"/>
      <c r="E21" s="436">
        <f>E22-G13</f>
        <v>5.21472</v>
      </c>
      <c r="F21" s="545">
        <f t="shared" si="0"/>
        <v>-104.59200000000419</v>
      </c>
      <c r="G21" s="445">
        <f t="shared" si="0"/>
        <v>416.87999999999647</v>
      </c>
      <c r="H21" s="446">
        <f t="shared" si="0"/>
        <v>938.3519999999962</v>
      </c>
      <c r="I21" s="447">
        <f t="shared" si="0"/>
        <v>1459.8239999999978</v>
      </c>
      <c r="J21" s="546">
        <f t="shared" si="0"/>
        <v>1981.2959999999975</v>
      </c>
    </row>
    <row r="22" spans="1:10" ht="21" customHeight="1" thickBot="1">
      <c r="A22" s="1"/>
      <c r="B22" s="1"/>
      <c r="C22" s="1"/>
      <c r="D22" s="1"/>
      <c r="E22" s="442">
        <f>E23-G13</f>
        <v>5.32336</v>
      </c>
      <c r="F22" s="547">
        <f t="shared" si="0"/>
        <v>58.367999999996755</v>
      </c>
      <c r="G22" s="448">
        <f t="shared" si="0"/>
        <v>590.703999999997</v>
      </c>
      <c r="H22" s="449">
        <f t="shared" si="0"/>
        <v>1123.0399999999981</v>
      </c>
      <c r="I22" s="450">
        <f t="shared" si="0"/>
        <v>1655.3759999999975</v>
      </c>
      <c r="J22" s="546">
        <f t="shared" si="0"/>
        <v>2187.7119999999986</v>
      </c>
    </row>
    <row r="23" spans="1:10" ht="21" customHeight="1" thickBot="1">
      <c r="A23" s="1"/>
      <c r="B23" s="1"/>
      <c r="C23" s="1"/>
      <c r="D23" s="227" t="s">
        <v>20</v>
      </c>
      <c r="E23" s="444">
        <f>J12</f>
        <v>5.432</v>
      </c>
      <c r="F23" s="548">
        <f t="shared" si="0"/>
        <v>221.3279999999968</v>
      </c>
      <c r="G23" s="451">
        <f t="shared" si="0"/>
        <v>764.5279999999975</v>
      </c>
      <c r="H23" s="452">
        <f t="shared" si="0"/>
        <v>1307.7279999999982</v>
      </c>
      <c r="I23" s="463">
        <f t="shared" si="0"/>
        <v>1850.927999999999</v>
      </c>
      <c r="J23" s="546">
        <f t="shared" si="0"/>
        <v>2394.1279999999997</v>
      </c>
    </row>
    <row r="24" spans="1:10" ht="21" customHeight="1" thickBot="1">
      <c r="A24" s="1"/>
      <c r="B24" s="1"/>
      <c r="C24" s="1"/>
      <c r="D24" s="1"/>
      <c r="E24" s="443">
        <f>E23+G13</f>
        <v>5.540640000000001</v>
      </c>
      <c r="F24" s="549">
        <f t="shared" si="0"/>
        <v>384.2879999999959</v>
      </c>
      <c r="G24" s="550">
        <f t="shared" si="0"/>
        <v>938.3519999999962</v>
      </c>
      <c r="H24" s="550">
        <f t="shared" si="0"/>
        <v>1492.4159999999983</v>
      </c>
      <c r="I24" s="550">
        <f t="shared" si="0"/>
        <v>2046.4799999999987</v>
      </c>
      <c r="J24" s="551">
        <f t="shared" si="0"/>
        <v>2600.543999999999</v>
      </c>
    </row>
    <row r="25" spans="1:256" ht="4.5" customHeight="1">
      <c r="A25" s="373"/>
      <c r="B25" s="373"/>
      <c r="C25" s="373"/>
      <c r="D25" s="373"/>
      <c r="E25" s="374"/>
      <c r="F25" s="375"/>
      <c r="G25" s="375"/>
      <c r="H25" s="375"/>
      <c r="I25" s="375"/>
      <c r="J25" s="375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77"/>
      <c r="ED25" s="277"/>
      <c r="EE25" s="277"/>
      <c r="EF25" s="277"/>
      <c r="EG25" s="277"/>
      <c r="EH25" s="277"/>
      <c r="EI25" s="277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7"/>
      <c r="EV25" s="277"/>
      <c r="EW25" s="277"/>
      <c r="EX25" s="277"/>
      <c r="EY25" s="277"/>
      <c r="EZ25" s="277"/>
      <c r="FA25" s="277"/>
      <c r="FB25" s="277"/>
      <c r="FC25" s="277"/>
      <c r="FD25" s="277"/>
      <c r="FE25" s="277"/>
      <c r="FF25" s="277"/>
      <c r="FG25" s="277"/>
      <c r="FH25" s="277"/>
      <c r="FI25" s="277"/>
      <c r="FJ25" s="277"/>
      <c r="FK25" s="277"/>
      <c r="FL25" s="277"/>
      <c r="FM25" s="277"/>
      <c r="FN25" s="277"/>
      <c r="FO25" s="277"/>
      <c r="FP25" s="277"/>
      <c r="FQ25" s="277"/>
      <c r="FR25" s="277"/>
      <c r="FS25" s="277"/>
      <c r="FT25" s="277"/>
      <c r="FU25" s="277"/>
      <c r="FV25" s="277"/>
      <c r="FW25" s="277"/>
      <c r="FX25" s="277"/>
      <c r="FY25" s="277"/>
      <c r="FZ25" s="277"/>
      <c r="GA25" s="277"/>
      <c r="GB25" s="277"/>
      <c r="GC25" s="277"/>
      <c r="GD25" s="277"/>
      <c r="GE25" s="277"/>
      <c r="GF25" s="277"/>
      <c r="GG25" s="277"/>
      <c r="GH25" s="277"/>
      <c r="GI25" s="277"/>
      <c r="GJ25" s="277"/>
      <c r="GK25" s="277"/>
      <c r="GL25" s="277"/>
      <c r="GM25" s="277"/>
      <c r="GN25" s="277"/>
      <c r="GO25" s="277"/>
      <c r="GP25" s="277"/>
      <c r="GQ25" s="277"/>
      <c r="GR25" s="277"/>
      <c r="GS25" s="277"/>
      <c r="GT25" s="277"/>
      <c r="GU25" s="277"/>
      <c r="GV25" s="277"/>
      <c r="GW25" s="277"/>
      <c r="GX25" s="277"/>
      <c r="GY25" s="277"/>
      <c r="GZ25" s="277"/>
      <c r="HA25" s="277"/>
      <c r="HB25" s="277"/>
      <c r="HC25" s="277"/>
      <c r="HD25" s="277"/>
      <c r="HE25" s="277"/>
      <c r="HF25" s="277"/>
      <c r="HG25" s="277"/>
      <c r="HH25" s="277"/>
      <c r="HI25" s="277"/>
      <c r="HJ25" s="277"/>
      <c r="HK25" s="277"/>
      <c r="HL25" s="277"/>
      <c r="HM25" s="277"/>
      <c r="HN25" s="277"/>
      <c r="HO25" s="277"/>
      <c r="HP25" s="277"/>
      <c r="HQ25" s="277"/>
      <c r="HR25" s="277"/>
      <c r="HS25" s="277"/>
      <c r="HT25" s="277"/>
      <c r="HU25" s="277"/>
      <c r="HV25" s="277"/>
      <c r="HW25" s="277"/>
      <c r="HX25" s="277"/>
      <c r="HY25" s="277"/>
      <c r="HZ25" s="277"/>
      <c r="IA25" s="277"/>
      <c r="IB25" s="277"/>
      <c r="IC25" s="277"/>
      <c r="ID25" s="277"/>
      <c r="IE25" s="277"/>
      <c r="IF25" s="277"/>
      <c r="IG25" s="277"/>
      <c r="IH25" s="277"/>
      <c r="II25" s="277"/>
      <c r="IJ25" s="277"/>
      <c r="IK25" s="277"/>
      <c r="IL25" s="277"/>
      <c r="IM25" s="277"/>
      <c r="IN25" s="277"/>
      <c r="IO25" s="277"/>
      <c r="IP25" s="277"/>
      <c r="IQ25" s="277"/>
      <c r="IR25" s="277"/>
      <c r="IS25" s="277"/>
      <c r="IT25" s="277"/>
      <c r="IU25" s="277"/>
      <c r="IV25" s="277"/>
    </row>
    <row r="26" spans="1:256" ht="16.5" customHeight="1">
      <c r="A26" s="95" t="s">
        <v>4</v>
      </c>
      <c r="B26" s="373"/>
      <c r="C26" s="373"/>
      <c r="D26" s="373"/>
      <c r="E26" s="374"/>
      <c r="F26" s="375"/>
      <c r="G26" s="375"/>
      <c r="H26" s="375"/>
      <c r="I26" s="375"/>
      <c r="J26" s="375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7"/>
      <c r="FK26" s="277"/>
      <c r="FL26" s="277"/>
      <c r="FM26" s="277"/>
      <c r="FN26" s="277"/>
      <c r="FO26" s="277"/>
      <c r="FP26" s="277"/>
      <c r="FQ26" s="277"/>
      <c r="FR26" s="277"/>
      <c r="FS26" s="277"/>
      <c r="FT26" s="277"/>
      <c r="FU26" s="277"/>
      <c r="FV26" s="277"/>
      <c r="FW26" s="277"/>
      <c r="FX26" s="277"/>
      <c r="FY26" s="277"/>
      <c r="FZ26" s="277"/>
      <c r="GA26" s="277"/>
      <c r="GB26" s="277"/>
      <c r="GC26" s="277"/>
      <c r="GD26" s="277"/>
      <c r="GE26" s="277"/>
      <c r="GF26" s="277"/>
      <c r="GG26" s="277"/>
      <c r="GH26" s="277"/>
      <c r="GI26" s="277"/>
      <c r="GJ26" s="277"/>
      <c r="GK26" s="277"/>
      <c r="GL26" s="277"/>
      <c r="GM26" s="277"/>
      <c r="GN26" s="277"/>
      <c r="GO26" s="277"/>
      <c r="GP26" s="277"/>
      <c r="GQ26" s="277"/>
      <c r="GR26" s="277"/>
      <c r="GS26" s="277"/>
      <c r="GT26" s="277"/>
      <c r="GU26" s="277"/>
      <c r="GV26" s="277"/>
      <c r="GW26" s="277"/>
      <c r="GX26" s="277"/>
      <c r="GY26" s="277"/>
      <c r="GZ26" s="277"/>
      <c r="HA26" s="277"/>
      <c r="HB26" s="277"/>
      <c r="HC26" s="277"/>
      <c r="HD26" s="277"/>
      <c r="HE26" s="277"/>
      <c r="HF26" s="277"/>
      <c r="HG26" s="277"/>
      <c r="HH26" s="277"/>
      <c r="HI26" s="277"/>
      <c r="HJ26" s="277"/>
      <c r="HK26" s="277"/>
      <c r="HL26" s="277"/>
      <c r="HM26" s="277"/>
      <c r="HN26" s="277"/>
      <c r="HO26" s="277"/>
      <c r="HP26" s="277"/>
      <c r="HQ26" s="277"/>
      <c r="HR26" s="277"/>
      <c r="HS26" s="277"/>
      <c r="HT26" s="277"/>
      <c r="HU26" s="277"/>
      <c r="HV26" s="277"/>
      <c r="HW26" s="277"/>
      <c r="HX26" s="277"/>
      <c r="HY26" s="277"/>
      <c r="HZ26" s="277"/>
      <c r="IA26" s="277"/>
      <c r="IB26" s="277"/>
      <c r="IC26" s="277"/>
      <c r="ID26" s="277"/>
      <c r="IE26" s="277"/>
      <c r="IF26" s="277"/>
      <c r="IG26" s="277"/>
      <c r="IH26" s="277"/>
      <c r="II26" s="277"/>
      <c r="IJ26" s="277"/>
      <c r="IK26" s="277"/>
      <c r="IL26" s="277"/>
      <c r="IM26" s="277"/>
      <c r="IN26" s="277"/>
      <c r="IO26" s="277"/>
      <c r="IP26" s="277"/>
      <c r="IQ26" s="277"/>
      <c r="IR26" s="277"/>
      <c r="IS26" s="277"/>
      <c r="IT26" s="277"/>
      <c r="IU26" s="277"/>
      <c r="IV26" s="277"/>
    </row>
    <row r="27" s="277" customFormat="1" ht="18" customHeight="1" thickBot="1">
      <c r="B27" s="404" t="s">
        <v>14</v>
      </c>
    </row>
    <row r="28" spans="2:10" ht="19.5" customHeight="1" thickBot="1">
      <c r="B28" s="410" t="s">
        <v>102</v>
      </c>
      <c r="C28" s="422"/>
      <c r="D28" s="422"/>
      <c r="E28" s="384"/>
      <c r="F28" s="384"/>
      <c r="G28" s="423"/>
      <c r="H28" s="322"/>
      <c r="I28" s="430" t="s">
        <v>18</v>
      </c>
      <c r="J28" s="431">
        <f>'100% Criollo wet bean'!N12</f>
        <v>4.8888</v>
      </c>
    </row>
    <row r="29" spans="2:10" ht="19.5" customHeight="1" thickBot="1" thickTop="1">
      <c r="B29" s="414" t="s">
        <v>38</v>
      </c>
      <c r="C29" s="274">
        <v>2</v>
      </c>
      <c r="D29" s="275" t="s">
        <v>98</v>
      </c>
      <c r="E29" s="428" t="s">
        <v>11</v>
      </c>
      <c r="F29" s="1"/>
      <c r="G29" s="568">
        <f>IF(D29="%",(C29/100)*E39,C29)</f>
        <v>0.097776</v>
      </c>
      <c r="H29" s="322"/>
      <c r="I29" s="432" t="s">
        <v>17</v>
      </c>
      <c r="J29" s="433">
        <f>'100% Criollo wet bean'!H12</f>
        <v>1000</v>
      </c>
    </row>
    <row r="30" spans="2:10" ht="19.5" customHeight="1" thickBot="1" thickTop="1">
      <c r="B30" s="414" t="s">
        <v>38</v>
      </c>
      <c r="C30" s="274">
        <v>0.1</v>
      </c>
      <c r="D30" s="275" t="s">
        <v>100</v>
      </c>
      <c r="E30" s="428" t="s">
        <v>12</v>
      </c>
      <c r="F30" s="93"/>
      <c r="G30" s="415">
        <f>IF(D30="%",(C30/100)*I34,C30)</f>
        <v>0.1</v>
      </c>
      <c r="H30" s="383"/>
      <c r="I30" s="434" t="s">
        <v>21</v>
      </c>
      <c r="J30" s="435">
        <f>'100% Criollo wet bean'!L95</f>
        <v>7839.760000000001</v>
      </c>
    </row>
    <row r="31" spans="2:10" ht="6" customHeight="1" thickBot="1" thickTop="1">
      <c r="B31" s="416"/>
      <c r="C31" s="417"/>
      <c r="D31" s="418"/>
      <c r="E31" s="419"/>
      <c r="F31" s="420"/>
      <c r="G31" s="421"/>
      <c r="H31" s="409"/>
      <c r="I31" s="359"/>
      <c r="J31" s="359"/>
    </row>
    <row r="32" spans="2:10" ht="4.5" customHeight="1">
      <c r="B32" s="360"/>
      <c r="C32" s="360"/>
      <c r="D32" s="405"/>
      <c r="E32" s="406"/>
      <c r="F32" s="407"/>
      <c r="G32" s="407"/>
      <c r="H32" s="407"/>
      <c r="I32" s="407"/>
      <c r="J32" s="407"/>
    </row>
    <row r="33" spans="2:10" s="277" customFormat="1" ht="18" customHeight="1" thickBot="1">
      <c r="B33" s="360" t="s">
        <v>15</v>
      </c>
      <c r="C33" s="360"/>
      <c r="D33" s="405"/>
      <c r="E33" s="406"/>
      <c r="F33" s="407"/>
      <c r="G33" s="407"/>
      <c r="H33" s="407"/>
      <c r="I33" s="407"/>
      <c r="J33" s="407"/>
    </row>
    <row r="34" spans="2:10" ht="19.5" customHeight="1" thickBot="1">
      <c r="B34" s="1"/>
      <c r="C34" s="1"/>
      <c r="D34" s="1"/>
      <c r="E34" s="276" t="s">
        <v>19</v>
      </c>
      <c r="F34" s="437">
        <f>G34-G30</f>
        <v>1.6999999999999997</v>
      </c>
      <c r="G34" s="437">
        <f>H34-G30</f>
        <v>1.7999999999999998</v>
      </c>
      <c r="H34" s="438">
        <f>I34-G30</f>
        <v>1.9</v>
      </c>
      <c r="I34" s="440">
        <f>'100% Criollo wet bean'!H5</f>
        <v>2</v>
      </c>
      <c r="J34" s="439">
        <f>I34+G30</f>
        <v>2.1</v>
      </c>
    </row>
    <row r="35" spans="2:10" ht="19.5" customHeight="1">
      <c r="B35" s="1"/>
      <c r="C35" s="1"/>
      <c r="D35" s="227" t="s">
        <v>16</v>
      </c>
      <c r="E35" s="436">
        <f>E36-G29</f>
        <v>4.497696000000001</v>
      </c>
      <c r="F35" s="528">
        <f aca="true" t="shared" si="1" ref="F35:J40">(F$34*$E35*$J$29)-$J$30</f>
        <v>-193.67680000000018</v>
      </c>
      <c r="G35" s="529">
        <f t="shared" si="1"/>
        <v>256.09280000000035</v>
      </c>
      <c r="H35" s="530">
        <f t="shared" si="1"/>
        <v>705.8624000000009</v>
      </c>
      <c r="I35" s="531">
        <f t="shared" si="1"/>
        <v>1155.6320000000005</v>
      </c>
      <c r="J35" s="532">
        <f t="shared" si="1"/>
        <v>1605.401600000002</v>
      </c>
    </row>
    <row r="36" spans="2:10" ht="19.5" customHeight="1">
      <c r="B36" s="1"/>
      <c r="C36" s="1"/>
      <c r="D36" s="1"/>
      <c r="E36" s="436">
        <f>E37-G29</f>
        <v>4.595472000000001</v>
      </c>
      <c r="F36" s="533">
        <f t="shared" si="1"/>
        <v>-27.45760000000064</v>
      </c>
      <c r="G36" s="455">
        <f t="shared" si="1"/>
        <v>432.08960000000025</v>
      </c>
      <c r="H36" s="456">
        <f t="shared" si="1"/>
        <v>891.6367999999993</v>
      </c>
      <c r="I36" s="457">
        <f t="shared" si="1"/>
        <v>1351.1840000000002</v>
      </c>
      <c r="J36" s="534">
        <f t="shared" si="1"/>
        <v>1810.731200000001</v>
      </c>
    </row>
    <row r="37" spans="2:10" ht="19.5" customHeight="1">
      <c r="B37" s="1"/>
      <c r="C37" s="1"/>
      <c r="D37" s="1"/>
      <c r="E37" s="436">
        <f>E38-G29</f>
        <v>4.6932480000000005</v>
      </c>
      <c r="F37" s="533">
        <f t="shared" si="1"/>
        <v>138.7615999999989</v>
      </c>
      <c r="G37" s="455">
        <f t="shared" si="1"/>
        <v>608.0863999999992</v>
      </c>
      <c r="H37" s="456">
        <f t="shared" si="1"/>
        <v>1077.4111999999996</v>
      </c>
      <c r="I37" s="457">
        <f t="shared" si="1"/>
        <v>1546.7359999999999</v>
      </c>
      <c r="J37" s="534">
        <f t="shared" si="1"/>
        <v>2016.0608000000002</v>
      </c>
    </row>
    <row r="38" spans="2:10" ht="19.5" customHeight="1" thickBot="1">
      <c r="B38" s="1"/>
      <c r="C38" s="1"/>
      <c r="D38" s="1"/>
      <c r="E38" s="442">
        <f>E39-G29</f>
        <v>4.791024</v>
      </c>
      <c r="F38" s="535">
        <f t="shared" si="1"/>
        <v>304.98079999999845</v>
      </c>
      <c r="G38" s="458">
        <f t="shared" si="1"/>
        <v>784.0831999999982</v>
      </c>
      <c r="H38" s="459">
        <f t="shared" si="1"/>
        <v>1263.185599999998</v>
      </c>
      <c r="I38" s="460">
        <f t="shared" si="1"/>
        <v>1742.2879999999996</v>
      </c>
      <c r="J38" s="534">
        <f t="shared" si="1"/>
        <v>2221.3903999999993</v>
      </c>
    </row>
    <row r="39" spans="2:10" ht="19.5" customHeight="1" thickBot="1">
      <c r="B39" s="1"/>
      <c r="C39" s="1"/>
      <c r="D39" s="441" t="s">
        <v>20</v>
      </c>
      <c r="E39" s="444">
        <f>J28</f>
        <v>4.8888</v>
      </c>
      <c r="F39" s="536">
        <f t="shared" si="1"/>
        <v>471.1999999999962</v>
      </c>
      <c r="G39" s="461">
        <f t="shared" si="1"/>
        <v>960.079999999999</v>
      </c>
      <c r="H39" s="462">
        <f t="shared" si="1"/>
        <v>1448.9599999999982</v>
      </c>
      <c r="I39" s="463">
        <f>(I$34*$E39*$J$29)-$J$30</f>
        <v>1937.8399999999992</v>
      </c>
      <c r="J39" s="534">
        <f t="shared" si="1"/>
        <v>2426.7199999999984</v>
      </c>
    </row>
    <row r="40" spans="2:10" ht="19.5" customHeight="1" thickBot="1">
      <c r="B40" s="1"/>
      <c r="C40" s="1"/>
      <c r="D40" s="1"/>
      <c r="E40" s="443">
        <f>E39+G29</f>
        <v>4.9865759999999995</v>
      </c>
      <c r="F40" s="537">
        <f t="shared" si="1"/>
        <v>637.4191999999975</v>
      </c>
      <c r="G40" s="538">
        <f t="shared" si="1"/>
        <v>1136.0767999999962</v>
      </c>
      <c r="H40" s="538">
        <f t="shared" si="1"/>
        <v>1634.7343999999985</v>
      </c>
      <c r="I40" s="538">
        <f t="shared" si="1"/>
        <v>2133.391999999997</v>
      </c>
      <c r="J40" s="539">
        <f t="shared" si="1"/>
        <v>2632.0495999999976</v>
      </c>
    </row>
    <row r="41" ht="6" customHeight="1"/>
  </sheetData>
  <printOptions/>
  <pageMargins left="0.15944889187812805" right="0.35629916191101074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FLEMING</dc:creator>
  <cp:keywords/>
  <dc:description/>
  <cp:lastModifiedBy>HC Bittenbender</cp:lastModifiedBy>
  <cp:lastPrinted>2009-06-19T20:20:16Z</cp:lastPrinted>
  <dcterms:created xsi:type="dcterms:W3CDTF">2009-07-24T20:25:02Z</dcterms:created>
  <dcterms:modified xsi:type="dcterms:W3CDTF">2009-12-17T23:45:43Z</dcterms:modified>
  <cp:category/>
  <cp:version/>
  <cp:contentType/>
  <cp:contentStatus/>
</cp:coreProperties>
</file>